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Blahoslav Rejent\Downloads\"/>
    </mc:Choice>
  </mc:AlternateContent>
  <xr:revisionPtr revIDLastSave="0" documentId="13_ncr:1_{2C357012-1269-4ABF-BF34-F8A9495013FD}" xr6:coauthVersionLast="46" xr6:coauthVersionMax="46" xr10:uidLastSave="{00000000-0000-0000-0000-000000000000}"/>
  <bookViews>
    <workbookView xWindow="-108" yWindow="-108" windowWidth="23256" windowHeight="12720" firstSheet="3" activeTab="5" xr2:uid="{00000000-000D-0000-FFFF-FFFF00000000}"/>
  </bookViews>
  <sheets>
    <sheet name="L01_Balance sheet" sheetId="11" r:id="rId1"/>
    <sheet name="T01_Yield curve" sheetId="10" r:id="rId2"/>
    <sheet name="T01 Example I" sheetId="13" r:id="rId3"/>
    <sheet name="T01 Example II" sheetId="14" r:id="rId4"/>
    <sheet name="T01 i.r. Compounding" sheetId="15" r:id="rId5"/>
    <sheet name="L02T02 Example I" sheetId="16" r:id="rId6"/>
    <sheet name="J&amp;J" sheetId="5" r:id="rId7"/>
    <sheet name="List1" sheetId="12"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16" l="1"/>
  <c r="H68" i="16"/>
  <c r="B86" i="5"/>
  <c r="D82" i="5"/>
  <c r="AD22" i="10"/>
  <c r="AD24" i="10" s="1"/>
  <c r="AD26" i="10" s="1"/>
  <c r="AD20" i="10"/>
  <c r="AH22" i="10"/>
  <c r="AH24" i="10" s="1"/>
  <c r="AH26" i="10" s="1"/>
  <c r="AH20" i="10"/>
  <c r="X22" i="10"/>
  <c r="W20" i="10"/>
  <c r="X20" i="10" s="1"/>
  <c r="W22" i="10"/>
  <c r="W24" i="10" l="1"/>
  <c r="W26" i="10" s="1"/>
  <c r="C36" i="16"/>
  <c r="K43" i="16" s="1"/>
  <c r="C37" i="16"/>
  <c r="K45" i="16"/>
  <c r="K46" i="16"/>
  <c r="K49" i="16"/>
  <c r="K50" i="16"/>
  <c r="K53" i="16"/>
  <c r="K54" i="16"/>
  <c r="K57" i="16"/>
  <c r="K58" i="16"/>
  <c r="K61" i="16"/>
  <c r="K62" i="16"/>
  <c r="K65" i="16"/>
  <c r="K66" i="16"/>
  <c r="K70" i="16"/>
  <c r="K71" i="16"/>
  <c r="K74" i="16"/>
  <c r="K75" i="16"/>
  <c r="K78" i="16"/>
  <c r="K79" i="16"/>
  <c r="K82" i="16"/>
  <c r="K83" i="16"/>
  <c r="K86" i="16"/>
  <c r="K87" i="16"/>
  <c r="K90" i="16"/>
  <c r="K91" i="16"/>
  <c r="K94" i="16"/>
  <c r="K95" i="16"/>
  <c r="K98" i="16"/>
  <c r="K99" i="16"/>
  <c r="K102" i="16"/>
  <c r="K103" i="16"/>
  <c r="K106" i="16"/>
  <c r="K107" i="16"/>
  <c r="K110" i="16"/>
  <c r="K111" i="16"/>
  <c r="K114" i="16"/>
  <c r="K115" i="16"/>
  <c r="K118" i="16"/>
  <c r="K119" i="16"/>
  <c r="K122" i="16"/>
  <c r="K123" i="16"/>
  <c r="K126" i="16"/>
  <c r="K127" i="16"/>
  <c r="K130" i="16"/>
  <c r="K131" i="16"/>
  <c r="K134" i="16"/>
  <c r="K135" i="16"/>
  <c r="K138" i="16"/>
  <c r="K139" i="16"/>
  <c r="K142" i="16"/>
  <c r="K143" i="16"/>
  <c r="K146" i="16"/>
  <c r="K147" i="16"/>
  <c r="K150" i="16"/>
  <c r="K151" i="16"/>
  <c r="K34" i="16"/>
  <c r="K35" i="16"/>
  <c r="K38" i="16"/>
  <c r="K39" i="16"/>
  <c r="K32" i="16"/>
  <c r="C19" i="16"/>
  <c r="G24" i="16" s="1"/>
  <c r="L24" i="16" s="1"/>
  <c r="K16" i="16"/>
  <c r="K27" i="16"/>
  <c r="K26" i="16"/>
  <c r="K25" i="16"/>
  <c r="K24" i="16"/>
  <c r="K23" i="16"/>
  <c r="K22" i="16"/>
  <c r="K21" i="16"/>
  <c r="K20" i="16"/>
  <c r="K19" i="16"/>
  <c r="K18" i="16"/>
  <c r="K17" i="16"/>
  <c r="K15" i="16"/>
  <c r="K14" i="16"/>
  <c r="K13" i="16"/>
  <c r="H13" i="16"/>
  <c r="D3" i="15"/>
  <c r="D4" i="15"/>
  <c r="D6" i="15"/>
  <c r="D5" i="15"/>
  <c r="A5" i="14"/>
  <c r="E5" i="14" s="1"/>
  <c r="F5" i="14" s="1"/>
  <c r="F14" i="14"/>
  <c r="F7" i="14"/>
  <c r="F8" i="14"/>
  <c r="F9" i="14"/>
  <c r="F10" i="14"/>
  <c r="F11" i="14"/>
  <c r="F12" i="14"/>
  <c r="F13" i="14"/>
  <c r="E14" i="14"/>
  <c r="E13" i="14"/>
  <c r="E12" i="14"/>
  <c r="E11" i="14"/>
  <c r="E10" i="14"/>
  <c r="E9" i="14"/>
  <c r="E8" i="14"/>
  <c r="E7" i="14"/>
  <c r="E6" i="14"/>
  <c r="F6" i="14" s="1"/>
  <c r="C2" i="14"/>
  <c r="C6" i="14"/>
  <c r="C7" i="14"/>
  <c r="C8" i="14"/>
  <c r="C9" i="14"/>
  <c r="C10" i="14"/>
  <c r="C11" i="14"/>
  <c r="C12" i="14"/>
  <c r="C13" i="14"/>
  <c r="C14" i="14"/>
  <c r="C5" i="14"/>
  <c r="F3" i="13"/>
  <c r="D3" i="13"/>
  <c r="F7" i="13"/>
  <c r="F8" i="13"/>
  <c r="F9" i="13"/>
  <c r="F6" i="13"/>
  <c r="D9" i="13"/>
  <c r="D8" i="13"/>
  <c r="D7" i="13"/>
  <c r="D6" i="13"/>
  <c r="D11" i="11"/>
  <c r="B11" i="11"/>
  <c r="K41" i="16" l="1"/>
  <c r="K37" i="16"/>
  <c r="K33" i="16"/>
  <c r="K149" i="16"/>
  <c r="K145" i="16"/>
  <c r="K141" i="16"/>
  <c r="K137" i="16"/>
  <c r="K133" i="16"/>
  <c r="K129" i="16"/>
  <c r="K125" i="16"/>
  <c r="K121" i="16"/>
  <c r="K117" i="16"/>
  <c r="K113" i="16"/>
  <c r="K109" i="16"/>
  <c r="K105" i="16"/>
  <c r="K101" i="16"/>
  <c r="K97" i="16"/>
  <c r="K93" i="16"/>
  <c r="K89" i="16"/>
  <c r="K85" i="16"/>
  <c r="K81" i="16"/>
  <c r="K77" i="16"/>
  <c r="K73" i="16"/>
  <c r="K69" i="16"/>
  <c r="K64" i="16"/>
  <c r="K60" i="16"/>
  <c r="K56" i="16"/>
  <c r="K52" i="16"/>
  <c r="K48" i="16"/>
  <c r="K44" i="16"/>
  <c r="H32" i="16"/>
  <c r="K40" i="16"/>
  <c r="K36" i="16"/>
  <c r="K152" i="16"/>
  <c r="K148" i="16"/>
  <c r="K144" i="16"/>
  <c r="K140" i="16"/>
  <c r="K136" i="16"/>
  <c r="K132" i="16"/>
  <c r="K128" i="16"/>
  <c r="K124" i="16"/>
  <c r="K120" i="16"/>
  <c r="K116" i="16"/>
  <c r="K112" i="16"/>
  <c r="K108" i="16"/>
  <c r="K104" i="16"/>
  <c r="K100" i="16"/>
  <c r="K96" i="16"/>
  <c r="K92" i="16"/>
  <c r="K88" i="16"/>
  <c r="K84" i="16"/>
  <c r="K80" i="16"/>
  <c r="K76" i="16"/>
  <c r="K72" i="16"/>
  <c r="K67" i="16"/>
  <c r="K63" i="16"/>
  <c r="K59" i="16"/>
  <c r="K55" i="16"/>
  <c r="K51" i="16"/>
  <c r="K47" i="16"/>
  <c r="K42" i="16"/>
  <c r="C39" i="16"/>
  <c r="G152" i="16" s="1"/>
  <c r="L152" i="16" s="1"/>
  <c r="G139" i="16"/>
  <c r="L139" i="16" s="1"/>
  <c r="G150" i="16"/>
  <c r="L150" i="16" s="1"/>
  <c r="G138" i="16"/>
  <c r="L138" i="16" s="1"/>
  <c r="G145" i="16"/>
  <c r="L145" i="16" s="1"/>
  <c r="G133" i="16"/>
  <c r="L133" i="16" s="1"/>
  <c r="G109" i="16"/>
  <c r="L109" i="16" s="1"/>
  <c r="G97" i="16"/>
  <c r="L97" i="16" s="1"/>
  <c r="G44" i="16"/>
  <c r="L44" i="16" s="1"/>
  <c r="G128" i="16"/>
  <c r="G76" i="16"/>
  <c r="L76" i="16" s="1"/>
  <c r="G63" i="16"/>
  <c r="L63" i="16" s="1"/>
  <c r="G103" i="16"/>
  <c r="L103" i="16" s="1"/>
  <c r="G91" i="16"/>
  <c r="L91" i="16" s="1"/>
  <c r="G38" i="16"/>
  <c r="L38" i="16" s="1"/>
  <c r="L128" i="16"/>
  <c r="G25" i="16"/>
  <c r="L25" i="16" s="1"/>
  <c r="G22" i="16"/>
  <c r="G27" i="16"/>
  <c r="L27" i="16" s="1"/>
  <c r="G23" i="16"/>
  <c r="G26" i="16"/>
  <c r="L26" i="16" s="1"/>
  <c r="L22" i="16"/>
  <c r="G14" i="16"/>
  <c r="G15" i="16"/>
  <c r="G17" i="16"/>
  <c r="G19" i="16"/>
  <c r="G21" i="16"/>
  <c r="G16" i="16"/>
  <c r="G13" i="16"/>
  <c r="G18" i="16"/>
  <c r="G20" i="16"/>
  <c r="F16" i="14"/>
  <c r="F12" i="13"/>
  <c r="F13" i="13" s="1"/>
  <c r="G58" i="16" l="1"/>
  <c r="L58" i="16" s="1"/>
  <c r="G123" i="16"/>
  <c r="L123" i="16" s="1"/>
  <c r="G96" i="16"/>
  <c r="L96" i="16" s="1"/>
  <c r="G64" i="16"/>
  <c r="L64" i="16" s="1"/>
  <c r="G129" i="16"/>
  <c r="L129" i="16" s="1"/>
  <c r="G37" i="16"/>
  <c r="L37" i="16" s="1"/>
  <c r="G41" i="16"/>
  <c r="L41" i="16" s="1"/>
  <c r="G71" i="16"/>
  <c r="L71" i="16" s="1"/>
  <c r="G43" i="16"/>
  <c r="L43" i="16" s="1"/>
  <c r="G108" i="16"/>
  <c r="L108" i="16" s="1"/>
  <c r="G77" i="16"/>
  <c r="L77" i="16" s="1"/>
  <c r="G65" i="16"/>
  <c r="L65" i="16" s="1"/>
  <c r="G86" i="16"/>
  <c r="L86" i="16" s="1"/>
  <c r="G90" i="16"/>
  <c r="L90" i="16" s="1"/>
  <c r="G151" i="16"/>
  <c r="L151" i="16" s="1"/>
  <c r="G42" i="16"/>
  <c r="L42" i="16" s="1"/>
  <c r="G75" i="16"/>
  <c r="L75" i="16" s="1"/>
  <c r="G107" i="16"/>
  <c r="L107" i="16" s="1"/>
  <c r="G47" i="16"/>
  <c r="L47" i="16" s="1"/>
  <c r="G80" i="16"/>
  <c r="L80" i="16" s="1"/>
  <c r="G112" i="16"/>
  <c r="L112" i="16" s="1"/>
  <c r="G48" i="16"/>
  <c r="L48" i="16" s="1"/>
  <c r="G81" i="16"/>
  <c r="L81" i="16" s="1"/>
  <c r="G113" i="16"/>
  <c r="L113" i="16" s="1"/>
  <c r="G82" i="16"/>
  <c r="L82" i="16" s="1"/>
  <c r="G149" i="16"/>
  <c r="L149" i="16" s="1"/>
  <c r="G102" i="16"/>
  <c r="L102" i="16" s="1"/>
  <c r="G61" i="16"/>
  <c r="L61" i="16" s="1"/>
  <c r="G106" i="16"/>
  <c r="L106" i="16" s="1"/>
  <c r="G78" i="16"/>
  <c r="L78" i="16" s="1"/>
  <c r="G32" i="16"/>
  <c r="G54" i="16"/>
  <c r="L54" i="16" s="1"/>
  <c r="G87" i="16"/>
  <c r="L87" i="16" s="1"/>
  <c r="G119" i="16"/>
  <c r="L119" i="16" s="1"/>
  <c r="G59" i="16"/>
  <c r="L59" i="16" s="1"/>
  <c r="G92" i="16"/>
  <c r="L92" i="16" s="1"/>
  <c r="G124" i="16"/>
  <c r="L124" i="16" s="1"/>
  <c r="G60" i="16"/>
  <c r="L60" i="16" s="1"/>
  <c r="G93" i="16"/>
  <c r="L93" i="16" s="1"/>
  <c r="G125" i="16"/>
  <c r="L125" i="16" s="1"/>
  <c r="G127" i="16"/>
  <c r="L127" i="16" s="1"/>
  <c r="G136" i="16"/>
  <c r="L136" i="16" s="1"/>
  <c r="G134" i="16"/>
  <c r="L134" i="16" s="1"/>
  <c r="G144" i="16"/>
  <c r="L144" i="16" s="1"/>
  <c r="G135" i="16"/>
  <c r="L135" i="16" s="1"/>
  <c r="G34" i="16"/>
  <c r="L34" i="16" s="1"/>
  <c r="G148" i="16"/>
  <c r="L148" i="16" s="1"/>
  <c r="G46" i="16"/>
  <c r="L46" i="16" s="1"/>
  <c r="G62" i="16"/>
  <c r="L62" i="16" s="1"/>
  <c r="G79" i="16"/>
  <c r="L79" i="16" s="1"/>
  <c r="G95" i="16"/>
  <c r="L95" i="16" s="1"/>
  <c r="G111" i="16"/>
  <c r="L111" i="16" s="1"/>
  <c r="G35" i="16"/>
  <c r="L35" i="16" s="1"/>
  <c r="G51" i="16"/>
  <c r="L51" i="16" s="1"/>
  <c r="G67" i="16"/>
  <c r="L67" i="16" s="1"/>
  <c r="G84" i="16"/>
  <c r="L84" i="16" s="1"/>
  <c r="G100" i="16"/>
  <c r="L100" i="16" s="1"/>
  <c r="G116" i="16"/>
  <c r="L116" i="16" s="1"/>
  <c r="G36" i="16"/>
  <c r="L36" i="16" s="1"/>
  <c r="G52" i="16"/>
  <c r="L52" i="16" s="1"/>
  <c r="G69" i="16"/>
  <c r="L69" i="16" s="1"/>
  <c r="G85" i="16"/>
  <c r="L85" i="16" s="1"/>
  <c r="G101" i="16"/>
  <c r="L101" i="16" s="1"/>
  <c r="G117" i="16"/>
  <c r="L117" i="16" s="1"/>
  <c r="G33" i="16"/>
  <c r="L33" i="16" s="1"/>
  <c r="G98" i="16"/>
  <c r="L98" i="16" s="1"/>
  <c r="G137" i="16"/>
  <c r="L137" i="16" s="1"/>
  <c r="G45" i="16"/>
  <c r="L45" i="16" s="1"/>
  <c r="G53" i="16"/>
  <c r="L53" i="16" s="1"/>
  <c r="G118" i="16"/>
  <c r="L118" i="16" s="1"/>
  <c r="G142" i="16"/>
  <c r="L142" i="16" s="1"/>
  <c r="G94" i="16"/>
  <c r="L94" i="16" s="1"/>
  <c r="G57" i="16"/>
  <c r="L57" i="16" s="1"/>
  <c r="G122" i="16"/>
  <c r="L122" i="16" s="1"/>
  <c r="G143" i="16"/>
  <c r="L143" i="16" s="1"/>
  <c r="G126" i="16"/>
  <c r="L126" i="16" s="1"/>
  <c r="G50" i="16"/>
  <c r="L50" i="16" s="1"/>
  <c r="G66" i="16"/>
  <c r="L66" i="16" s="1"/>
  <c r="G83" i="16"/>
  <c r="L83" i="16" s="1"/>
  <c r="G99" i="16"/>
  <c r="L99" i="16" s="1"/>
  <c r="G115" i="16"/>
  <c r="L115" i="16" s="1"/>
  <c r="G39" i="16"/>
  <c r="L39" i="16" s="1"/>
  <c r="G55" i="16"/>
  <c r="L55" i="16" s="1"/>
  <c r="G72" i="16"/>
  <c r="L72" i="16" s="1"/>
  <c r="G88" i="16"/>
  <c r="L88" i="16" s="1"/>
  <c r="G104" i="16"/>
  <c r="L104" i="16" s="1"/>
  <c r="G120" i="16"/>
  <c r="L120" i="16" s="1"/>
  <c r="G40" i="16"/>
  <c r="L40" i="16" s="1"/>
  <c r="G56" i="16"/>
  <c r="L56" i="16" s="1"/>
  <c r="G73" i="16"/>
  <c r="L73" i="16" s="1"/>
  <c r="G89" i="16"/>
  <c r="L89" i="16" s="1"/>
  <c r="G105" i="16"/>
  <c r="L105" i="16" s="1"/>
  <c r="G121" i="16"/>
  <c r="L121" i="16" s="1"/>
  <c r="G49" i="16"/>
  <c r="L49" i="16" s="1"/>
  <c r="G114" i="16"/>
  <c r="L114" i="16" s="1"/>
  <c r="G141" i="16"/>
  <c r="L141" i="16" s="1"/>
  <c r="G110" i="16"/>
  <c r="L110" i="16" s="1"/>
  <c r="G70" i="16"/>
  <c r="L70" i="16" s="1"/>
  <c r="G130" i="16"/>
  <c r="L130" i="16" s="1"/>
  <c r="G146" i="16"/>
  <c r="L146" i="16" s="1"/>
  <c r="G132" i="16"/>
  <c r="L132" i="16" s="1"/>
  <c r="G74" i="16"/>
  <c r="L74" i="16" s="1"/>
  <c r="G131" i="16"/>
  <c r="L131" i="16" s="1"/>
  <c r="G147" i="16"/>
  <c r="L147" i="16" s="1"/>
  <c r="G140" i="16"/>
  <c r="L140" i="16" s="1"/>
  <c r="L23" i="16"/>
  <c r="G28" i="16"/>
  <c r="L19" i="16"/>
  <c r="L21" i="16"/>
  <c r="L18" i="16"/>
  <c r="I13" i="16"/>
  <c r="L13" i="16"/>
  <c r="L17" i="16"/>
  <c r="L20" i="16"/>
  <c r="L14" i="16"/>
  <c r="L16" i="16"/>
  <c r="L15" i="16"/>
  <c r="L32" i="16" l="1"/>
  <c r="L153" i="16" s="1"/>
  <c r="G153" i="16"/>
  <c r="I32" i="16"/>
  <c r="L28" i="16"/>
  <c r="J13" i="16"/>
  <c r="J32" i="16" l="1"/>
  <c r="H33" i="16" s="1"/>
  <c r="H14" i="16"/>
  <c r="I33" i="16" l="1"/>
  <c r="M6" i="16"/>
  <c r="I14" i="16"/>
  <c r="J33" i="16" l="1"/>
  <c r="H34" i="16" s="1"/>
  <c r="I34" i="16"/>
  <c r="J34" i="16" s="1"/>
  <c r="H35" i="16" s="1"/>
  <c r="J14" i="16"/>
  <c r="H6" i="16" s="1"/>
  <c r="H15" i="16" l="1"/>
  <c r="I15" i="16" l="1"/>
  <c r="B90" i="5"/>
  <c r="D68" i="5"/>
  <c r="B68" i="5"/>
  <c r="D57" i="5"/>
  <c r="B70" i="5" s="1"/>
  <c r="D69" i="5" s="1"/>
  <c r="B52" i="5"/>
  <c r="B42" i="5"/>
  <c r="B41" i="5"/>
  <c r="B39" i="5"/>
  <c r="B33" i="5"/>
  <c r="B17" i="5"/>
  <c r="B19" i="5" s="1"/>
  <c r="D11" i="5"/>
  <c r="D19" i="5" s="1"/>
  <c r="I35" i="16" l="1"/>
  <c r="J15" i="16"/>
  <c r="D28" i="5"/>
  <c r="D33" i="5" s="1"/>
  <c r="B43" i="5"/>
  <c r="B45" i="5" s="1"/>
  <c r="B69" i="5" s="1"/>
  <c r="B74" i="5" s="1"/>
  <c r="B58" i="5" s="1"/>
  <c r="D67" i="5"/>
  <c r="J35" i="16" l="1"/>
  <c r="H16" i="16"/>
  <c r="B46" i="5"/>
  <c r="D66" i="5" s="1"/>
  <c r="D74" i="5" s="1"/>
  <c r="D85" i="5"/>
  <c r="D90" i="5" s="1"/>
  <c r="B60" i="5"/>
  <c r="D54" i="5"/>
  <c r="D52" i="5" s="1"/>
  <c r="D60" i="5" s="1"/>
  <c r="H36" i="16" l="1"/>
  <c r="I16" i="16"/>
  <c r="I36" i="16" l="1"/>
  <c r="J16" i="16"/>
  <c r="J36" i="16" l="1"/>
  <c r="H17" i="16"/>
  <c r="I17" i="16" s="1"/>
  <c r="H37" i="16" l="1"/>
  <c r="J17" i="16"/>
  <c r="I37" i="16" l="1"/>
  <c r="J37" i="16" s="1"/>
  <c r="H18" i="16"/>
  <c r="I18" i="16" s="1"/>
  <c r="J18" i="16" s="1"/>
  <c r="H38" i="16" l="1"/>
  <c r="I38" i="16"/>
  <c r="J38" i="16" s="1"/>
  <c r="H19" i="16"/>
  <c r="I19" i="16" s="1"/>
  <c r="J19" i="16" s="1"/>
  <c r="H39" i="16" l="1"/>
  <c r="I39" i="16"/>
  <c r="H20" i="16"/>
  <c r="I20" i="16" s="1"/>
  <c r="J20" i="16" s="1"/>
  <c r="J39" i="16" l="1"/>
  <c r="H21" i="16"/>
  <c r="I21" i="16" s="1"/>
  <c r="J21" i="16" s="1"/>
  <c r="H40" i="16" l="1"/>
  <c r="I40" i="16" s="1"/>
  <c r="H22" i="16"/>
  <c r="J40" i="16" l="1"/>
  <c r="I22" i="16"/>
  <c r="H41" i="16" l="1"/>
  <c r="I41" i="16" s="1"/>
  <c r="J22" i="16"/>
  <c r="J41" i="16" l="1"/>
  <c r="H23" i="16"/>
  <c r="I23" i="16" s="1"/>
  <c r="J23" i="16" s="1"/>
  <c r="H24" i="16" s="1"/>
  <c r="I24" i="16" s="1"/>
  <c r="J24" i="16" s="1"/>
  <c r="H25" i="16" s="1"/>
  <c r="I25" i="16" s="1"/>
  <c r="J25" i="16" s="1"/>
  <c r="H26" i="16" s="1"/>
  <c r="I26" i="16" s="1"/>
  <c r="J26" i="16" s="1"/>
  <c r="H42" i="16" l="1"/>
  <c r="I42" i="16" s="1"/>
  <c r="H27" i="16"/>
  <c r="I27" i="16" l="1"/>
  <c r="H28" i="16"/>
  <c r="J42" i="16"/>
  <c r="J27" i="16" l="1"/>
  <c r="I28" i="16"/>
  <c r="H43" i="16"/>
  <c r="I43" i="16" s="1"/>
  <c r="J43" i="16" l="1"/>
  <c r="H44" i="16" l="1"/>
  <c r="I44" i="16" s="1"/>
  <c r="J44" i="16" s="1"/>
  <c r="H45" i="16" l="1"/>
  <c r="I45" i="16" s="1"/>
  <c r="J45" i="16" s="1"/>
  <c r="H46" i="16" l="1"/>
  <c r="I46" i="16" s="1"/>
  <c r="J46" i="16" s="1"/>
  <c r="H47" i="16" l="1"/>
  <c r="I47" i="16" s="1"/>
  <c r="J47" i="16" s="1"/>
  <c r="H48" i="16" l="1"/>
  <c r="I48" i="16" s="1"/>
  <c r="J48" i="16" s="1"/>
  <c r="H49" i="16" l="1"/>
  <c r="I49" i="16" s="1"/>
  <c r="J49" i="16" s="1"/>
  <c r="H50" i="16" l="1"/>
  <c r="I50" i="16" s="1"/>
  <c r="J50" i="16" s="1"/>
  <c r="H51" i="16" l="1"/>
  <c r="I51" i="16" s="1"/>
  <c r="J51" i="16" s="1"/>
  <c r="H52" i="16" l="1"/>
  <c r="I52" i="16" s="1"/>
  <c r="J52" i="16" s="1"/>
  <c r="H53" i="16" l="1"/>
  <c r="I53" i="16" s="1"/>
  <c r="J53" i="16" s="1"/>
  <c r="H54" i="16" l="1"/>
  <c r="I54" i="16" s="1"/>
  <c r="J54" i="16" s="1"/>
  <c r="H55" i="16" l="1"/>
  <c r="I55" i="16" s="1"/>
  <c r="J55" i="16" s="1"/>
  <c r="H56" i="16" l="1"/>
  <c r="I56" i="16" l="1"/>
  <c r="J56" i="16" s="1"/>
  <c r="H57" i="16" s="1"/>
  <c r="I57" i="16" s="1"/>
  <c r="J57" i="16" s="1"/>
  <c r="H58" i="16" l="1"/>
  <c r="I58" i="16" s="1"/>
  <c r="J58" i="16" s="1"/>
  <c r="H59" i="16" l="1"/>
  <c r="I59" i="16" s="1"/>
  <c r="J59" i="16" s="1"/>
  <c r="H60" i="16" l="1"/>
  <c r="I60" i="16" s="1"/>
  <c r="J60" i="16" s="1"/>
  <c r="H61" i="16" l="1"/>
  <c r="I61" i="16" s="1"/>
  <c r="J61" i="16" s="1"/>
  <c r="H62" i="16" l="1"/>
  <c r="I62" i="16" s="1"/>
  <c r="J62" i="16" s="1"/>
  <c r="H63" i="16" l="1"/>
  <c r="I63" i="16" s="1"/>
  <c r="J63" i="16" s="1"/>
  <c r="H64" i="16" l="1"/>
  <c r="I64" i="16" s="1"/>
  <c r="J64" i="16" s="1"/>
  <c r="H65" i="16" l="1"/>
  <c r="I65" i="16" s="1"/>
  <c r="J65" i="16" l="1"/>
  <c r="H66" i="16" l="1"/>
  <c r="I66" i="16" s="1"/>
  <c r="J66" i="16" s="1"/>
  <c r="H67" i="16" l="1"/>
  <c r="I67" i="16" l="1"/>
  <c r="J67" i="16" s="1"/>
  <c r="H7" i="16" s="1"/>
  <c r="H9" i="16" s="1"/>
  <c r="J8" i="16" s="1"/>
  <c r="J9" i="16" s="1"/>
  <c r="M9" i="16"/>
  <c r="H69" i="16"/>
  <c r="I69" i="16" s="1"/>
  <c r="J69" i="16" s="1"/>
  <c r="H70" i="16" l="1"/>
  <c r="I70" i="16" s="1"/>
  <c r="J70" i="16" s="1"/>
  <c r="H71" i="16" l="1"/>
  <c r="I71" i="16" s="1"/>
  <c r="J71" i="16" s="1"/>
  <c r="H72" i="16" l="1"/>
  <c r="I72" i="16" s="1"/>
  <c r="J72" i="16" s="1"/>
  <c r="H73" i="16" l="1"/>
  <c r="I73" i="16" s="1"/>
  <c r="J73" i="16" s="1"/>
  <c r="H74" i="16" l="1"/>
  <c r="I74" i="16" s="1"/>
  <c r="J74" i="16" l="1"/>
  <c r="H75" i="16" l="1"/>
  <c r="I75" i="16" s="1"/>
  <c r="J75" i="16" s="1"/>
  <c r="H76" i="16" l="1"/>
  <c r="I76" i="16" s="1"/>
  <c r="J76" i="16" s="1"/>
  <c r="H77" i="16" l="1"/>
  <c r="I77" i="16" s="1"/>
  <c r="J77" i="16" s="1"/>
  <c r="H78" i="16" l="1"/>
  <c r="I78" i="16" s="1"/>
  <c r="J78" i="16" s="1"/>
  <c r="H79" i="16" l="1"/>
  <c r="I79" i="16" s="1"/>
  <c r="J79" i="16" s="1"/>
  <c r="H80" i="16" l="1"/>
  <c r="I80" i="16" s="1"/>
  <c r="J80" i="16" s="1"/>
  <c r="H81" i="16" l="1"/>
  <c r="I81" i="16" s="1"/>
  <c r="J81" i="16" s="1"/>
  <c r="H82" i="16" l="1"/>
  <c r="I82" i="16" s="1"/>
  <c r="J82" i="16" s="1"/>
  <c r="H83" i="16" l="1"/>
  <c r="I83" i="16" s="1"/>
  <c r="J83" i="16" s="1"/>
  <c r="H84" i="16" l="1"/>
  <c r="I84" i="16" s="1"/>
  <c r="J84" i="16" s="1"/>
  <c r="H85" i="16" l="1"/>
  <c r="I85" i="16" s="1"/>
  <c r="J85" i="16" s="1"/>
  <c r="H86" i="16" l="1"/>
  <c r="I86" i="16" s="1"/>
  <c r="J86" i="16" s="1"/>
  <c r="H87" i="16" l="1"/>
  <c r="I87" i="16" s="1"/>
  <c r="J87" i="16" s="1"/>
  <c r="H88" i="16" l="1"/>
  <c r="I88" i="16" s="1"/>
  <c r="J88" i="16" s="1"/>
  <c r="H89" i="16" l="1"/>
  <c r="I89" i="16" s="1"/>
  <c r="J89" i="16" s="1"/>
  <c r="H90" i="16" l="1"/>
  <c r="I90" i="16" s="1"/>
  <c r="J90" i="16" s="1"/>
  <c r="H91" i="16" l="1"/>
  <c r="I91" i="16" s="1"/>
  <c r="J91" i="16" s="1"/>
  <c r="H92" i="16" l="1"/>
  <c r="I92" i="16" s="1"/>
  <c r="J92" i="16" s="1"/>
  <c r="H93" i="16" l="1"/>
  <c r="I93" i="16" s="1"/>
  <c r="J93" i="16" s="1"/>
  <c r="H94" i="16" l="1"/>
  <c r="I94" i="16" s="1"/>
  <c r="J94" i="16" s="1"/>
  <c r="H95" i="16" l="1"/>
  <c r="I95" i="16" s="1"/>
  <c r="J95" i="16" s="1"/>
  <c r="H96" i="16" l="1"/>
  <c r="I96" i="16" s="1"/>
  <c r="J96" i="16" s="1"/>
  <c r="H97" i="16" l="1"/>
  <c r="I97" i="16" s="1"/>
  <c r="J97" i="16" s="1"/>
  <c r="H98" i="16" l="1"/>
  <c r="I98" i="16" s="1"/>
  <c r="J98" i="16" s="1"/>
  <c r="H99" i="16" l="1"/>
  <c r="I99" i="16" s="1"/>
  <c r="J99" i="16" s="1"/>
  <c r="H100" i="16" l="1"/>
  <c r="I100" i="16" s="1"/>
  <c r="J100" i="16" s="1"/>
  <c r="H101" i="16" l="1"/>
  <c r="I101" i="16" s="1"/>
  <c r="J101" i="16" s="1"/>
  <c r="H102" i="16" l="1"/>
  <c r="I102" i="16" s="1"/>
  <c r="J102" i="16" s="1"/>
  <c r="H103" i="16" l="1"/>
  <c r="I103" i="16" s="1"/>
  <c r="J103" i="16" s="1"/>
  <c r="H104" i="16" l="1"/>
  <c r="I104" i="16" s="1"/>
  <c r="J104" i="16" s="1"/>
  <c r="H105" i="16" l="1"/>
  <c r="I105" i="16" s="1"/>
  <c r="J105" i="16" s="1"/>
  <c r="H106" i="16" l="1"/>
  <c r="I106" i="16" s="1"/>
  <c r="J106" i="16" s="1"/>
  <c r="H107" i="16" l="1"/>
  <c r="I107" i="16" s="1"/>
  <c r="J107" i="16" s="1"/>
  <c r="H108" i="16" l="1"/>
  <c r="I108" i="16" s="1"/>
  <c r="J108" i="16" s="1"/>
  <c r="H109" i="16" l="1"/>
  <c r="I109" i="16" s="1"/>
  <c r="J109" i="16" s="1"/>
  <c r="H110" i="16" l="1"/>
  <c r="I110" i="16" s="1"/>
  <c r="J110" i="16" s="1"/>
  <c r="H111" i="16" l="1"/>
  <c r="I111" i="16" s="1"/>
  <c r="J111" i="16" s="1"/>
  <c r="H112" i="16" l="1"/>
  <c r="I112" i="16" s="1"/>
  <c r="J112" i="16" s="1"/>
  <c r="H113" i="16" l="1"/>
  <c r="I113" i="16" s="1"/>
  <c r="J113" i="16" s="1"/>
  <c r="H114" i="16" l="1"/>
  <c r="I114" i="16" s="1"/>
  <c r="J114" i="16" s="1"/>
  <c r="H115" i="16" l="1"/>
  <c r="I115" i="16" s="1"/>
  <c r="J115" i="16" s="1"/>
  <c r="H116" i="16" l="1"/>
  <c r="I116" i="16" s="1"/>
  <c r="J116" i="16" s="1"/>
  <c r="H117" i="16" l="1"/>
  <c r="I117" i="16" s="1"/>
  <c r="J117" i="16" s="1"/>
  <c r="H118" i="16" l="1"/>
  <c r="I118" i="16" s="1"/>
  <c r="J118" i="16" s="1"/>
  <c r="H119" i="16" l="1"/>
  <c r="I119" i="16" s="1"/>
  <c r="J119" i="16" s="1"/>
  <c r="H120" i="16" l="1"/>
  <c r="I120" i="16" s="1"/>
  <c r="J120" i="16" s="1"/>
  <c r="H121" i="16" l="1"/>
  <c r="I121" i="16" s="1"/>
  <c r="J121" i="16" s="1"/>
  <c r="H122" i="16" l="1"/>
  <c r="I122" i="16" s="1"/>
  <c r="J122" i="16" s="1"/>
  <c r="H123" i="16" l="1"/>
  <c r="I123" i="16" s="1"/>
  <c r="J123" i="16" s="1"/>
  <c r="H124" i="16" l="1"/>
  <c r="I124" i="16" s="1"/>
  <c r="J124" i="16" s="1"/>
  <c r="H125" i="16" l="1"/>
  <c r="I125" i="16" s="1"/>
  <c r="J125" i="16" s="1"/>
  <c r="H126" i="16" l="1"/>
  <c r="I126" i="16" s="1"/>
  <c r="J126" i="16" s="1"/>
  <c r="H127" i="16" l="1"/>
  <c r="I127" i="16" s="1"/>
  <c r="J127" i="16" s="1"/>
  <c r="H128" i="16" l="1"/>
  <c r="I128" i="16" s="1"/>
  <c r="J128" i="16" s="1"/>
  <c r="H129" i="16" l="1"/>
  <c r="I129" i="16" s="1"/>
  <c r="J129" i="16" s="1"/>
  <c r="H130" i="16" l="1"/>
  <c r="I130" i="16" s="1"/>
  <c r="J130" i="16" s="1"/>
  <c r="H131" i="16" l="1"/>
  <c r="I131" i="16" s="1"/>
  <c r="J131" i="16" s="1"/>
  <c r="H132" i="16" l="1"/>
  <c r="I132" i="16" s="1"/>
  <c r="J132" i="16" s="1"/>
  <c r="H133" i="16" l="1"/>
  <c r="I133" i="16" s="1"/>
  <c r="J133" i="16" s="1"/>
  <c r="H134" i="16" l="1"/>
  <c r="I134" i="16" s="1"/>
  <c r="J134" i="16" s="1"/>
  <c r="H135" i="16" l="1"/>
  <c r="I135" i="16" s="1"/>
  <c r="J135" i="16" s="1"/>
  <c r="H136" i="16" l="1"/>
  <c r="I136" i="16" s="1"/>
  <c r="J136" i="16" s="1"/>
  <c r="H137" i="16" l="1"/>
  <c r="I137" i="16" s="1"/>
  <c r="J137" i="16" s="1"/>
  <c r="H138" i="16" l="1"/>
  <c r="I138" i="16" s="1"/>
  <c r="J138" i="16" s="1"/>
  <c r="H139" i="16" l="1"/>
  <c r="I139" i="16" s="1"/>
  <c r="J139" i="16" s="1"/>
  <c r="H140" i="16" l="1"/>
  <c r="I140" i="16" s="1"/>
  <c r="J140" i="16" s="1"/>
  <c r="H141" i="16" l="1"/>
  <c r="I141" i="16" s="1"/>
  <c r="J141" i="16" s="1"/>
  <c r="H142" i="16" l="1"/>
  <c r="I142" i="16" s="1"/>
  <c r="J142" i="16" s="1"/>
  <c r="H143" i="16" l="1"/>
  <c r="I143" i="16" s="1"/>
  <c r="J143" i="16" s="1"/>
  <c r="H144" i="16" l="1"/>
  <c r="I144" i="16" s="1"/>
  <c r="J144" i="16" s="1"/>
  <c r="H145" i="16" l="1"/>
  <c r="I145" i="16" s="1"/>
  <c r="J145" i="16" s="1"/>
  <c r="H146" i="16" l="1"/>
  <c r="I146" i="16" s="1"/>
  <c r="J146" i="16" s="1"/>
  <c r="H147" i="16" l="1"/>
  <c r="I147" i="16" s="1"/>
  <c r="J147" i="16" s="1"/>
  <c r="H148" i="16" l="1"/>
  <c r="I148" i="16" s="1"/>
  <c r="J148" i="16" s="1"/>
  <c r="H149" i="16" l="1"/>
  <c r="I149" i="16" s="1"/>
  <c r="J149" i="16" s="1"/>
  <c r="H150" i="16" l="1"/>
  <c r="I150" i="16" s="1"/>
  <c r="J150" i="16" s="1"/>
  <c r="H151" i="16" l="1"/>
  <c r="I151" i="16" s="1"/>
  <c r="J151" i="16" s="1"/>
  <c r="H152" i="16" l="1"/>
  <c r="I152" i="16" l="1"/>
  <c r="H153" i="16"/>
  <c r="J152" i="16" l="1"/>
  <c r="I153" i="16"/>
</calcChain>
</file>

<file path=xl/sharedStrings.xml><?xml version="1.0" encoding="utf-8"?>
<sst xmlns="http://schemas.openxmlformats.org/spreadsheetml/2006/main" count="267" uniqueCount="164">
  <si>
    <t>1.</t>
  </si>
  <si>
    <t>2.</t>
  </si>
  <si>
    <t>3.</t>
  </si>
  <si>
    <t>4.</t>
  </si>
  <si>
    <t>5.</t>
  </si>
  <si>
    <t>6.</t>
  </si>
  <si>
    <t>Úkol 1</t>
  </si>
  <si>
    <t>Task 1</t>
  </si>
  <si>
    <t>J&amp;J se rozhodli, že začnou podnikat a to tak, že budou péct chleba. Zjistili, že mají v místní „Village Bank“ na běžném účtu  65 000 Kč a speciálním spořícím účtu 50 000 Kč. Po delší úvaze a kalkulacích zjistili, že budou potřebovat ještě 90 000 Kč, aby mohli svůj podnik otevřít. 1.        Sestavte počáteční rozvahu této situace. J&amp;J nezačali péct, ale mají  nakoupeno vše, co potřebují. Předpokládejte, že nejprve použili peníze z úvěru. 2.        Sestavte počáteční dílčí (týkající se pouze  J&amp;J) rozvahu Village Bank (ke stejnému okamžiku). Podnik se rozjel velmi dobře, takže poté, co spotřebovali všechny zásoby a zaplatili 10 000 Kč za elektřinu, zjistili,že prodali chleba za 120 000 Kč. 3.        Sestavte výsledovku této situace. Předpokládejte, že odpisy jsou 25 % hodnoty trouby a příslušná daňová sazba je 28 % (ignorujte úrok, který by mohli vydělat na svých běžných či spořících účtech). 4.        Sestavte konečnou rozvahu podniku J&amp;J. 5.        Sestavte výkaz o peněžních tocích podniku J&amp;J. 6.        Sestavte konečnou dílčí rozvahu Village Bank</t>
  </si>
  <si>
    <t xml:space="preserve">J&amp;J decided to start their own business by baking fresh bread They found out, that they have CZK 65 000 in their current account  at the Village Bank and CZK 50 000 in a special savings account at the same bank. After a detailed analysis they realized, they would need another CZK 90 000 to start the business. A subsequent meeting in the Village Bank showed, that the bank is prepared to finance the project by granting a 10-year loan. So the deal was done: the interest rate was set at 7 % p.a. of the remaining principal and also the repayment schedule was agreed – 10 % of the initial principal at the end of each period.After having cleared the financing, J&amp;J purched all they needed: an oven for CZK 150 000, flour for CZK 20 000, eggs for CZK 10 000 and baking powder for CZK 5 000.1. Construct an initial balance sheet of J&amp;J´s  situation, after they have paid for the oven and all the ingredients. Assume that they first used the money from the loan.2. Construct an initial sub-balance sheet of the bank at the same point in time (only for balances related to J&amp;J ). The business ran well, so after using all the ingredients and paying CZK 10 000 for electricity and water, they sold CZK 120 000 worth of bread. 3. Construct the income statement of the situation. Assume, that the depreciation rate of the oven was 25 % and the applicable income tax rate was 28 % (ignore any potential interest earned on the savings and current account).
4. Construct the end of period balance sheet of the situation of  J&amp;J. 5. Construct the cash flow statement of J&amp;J´s  situation. Construct the end of period sub-balance sheet of the Village Bank
</t>
  </si>
  <si>
    <t>Řešení</t>
  </si>
  <si>
    <t>Solution</t>
  </si>
  <si>
    <t xml:space="preserve">J&amp;J </t>
  </si>
  <si>
    <t>Aktiva/ Assets</t>
  </si>
  <si>
    <t>Pasiva/ Liabilities and Equity</t>
  </si>
  <si>
    <t>Trouba/ Oven</t>
  </si>
  <si>
    <t>Vlastní kapitál/ Equity</t>
  </si>
  <si>
    <t>Základní jmění/ Paid in capital</t>
  </si>
  <si>
    <t>Mouka/ Flour</t>
  </si>
  <si>
    <t>Vajíčka/ Eggs</t>
  </si>
  <si>
    <t>Prášek do pečiva/ Baking powder</t>
  </si>
  <si>
    <t>Půjčka/ Loan</t>
  </si>
  <si>
    <t>Účet v bance/ Banking account</t>
  </si>
  <si>
    <t>Village Bank</t>
  </si>
  <si>
    <t xml:space="preserve">Půjčka  J&amp;J / Loan to J&amp;J </t>
  </si>
  <si>
    <t>Vlastní kapitál/ Total equity</t>
  </si>
  <si>
    <t>část těchto 70 000 může být i jiné depositum/ part of these 70 000 may also be deposit of somebody else</t>
  </si>
  <si>
    <t xml:space="preserve">Vklad J&amp;J/ deposit of J&amp;J </t>
  </si>
  <si>
    <t xml:space="preserve">Tržby/ revenues </t>
  </si>
  <si>
    <t>Spotřebované zásoby/ inventories used</t>
  </si>
  <si>
    <t>Elektřina/ electricity</t>
  </si>
  <si>
    <t>Úroky z půjčky/ Interest on the loan</t>
  </si>
  <si>
    <t>Odpisy/ Depreciation</t>
  </si>
  <si>
    <t>Zisk před zdaněním/ EBT</t>
  </si>
  <si>
    <t>Daň/ tax</t>
  </si>
  <si>
    <t>Čistý zisk/ Net income</t>
  </si>
  <si>
    <t>Základní kapitál/ Paid in capital</t>
  </si>
  <si>
    <t>Zisk období/ Net income of the period</t>
  </si>
  <si>
    <t>Direct method</t>
  </si>
  <si>
    <t>Indirect method</t>
  </si>
  <si>
    <t>Zisk/ Net income</t>
  </si>
  <si>
    <t>Změna stavu zásob/ Change in inventories</t>
  </si>
  <si>
    <t>Placená daň/ tax paid</t>
  </si>
  <si>
    <t>Splátka jistiny/ Principal repayment</t>
  </si>
  <si>
    <t>Cash flow</t>
  </si>
  <si>
    <t>Vlastní jmění/ Total equity</t>
  </si>
  <si>
    <t>?</t>
  </si>
  <si>
    <t>Other receivables</t>
  </si>
  <si>
    <t>Cash</t>
  </si>
  <si>
    <t>Interest paid</t>
  </si>
  <si>
    <t>Principal</t>
  </si>
  <si>
    <t>Interest rate</t>
  </si>
  <si>
    <t>Maturity</t>
  </si>
  <si>
    <t>Instalments per year</t>
  </si>
  <si>
    <t>Annuity</t>
  </si>
  <si>
    <t>Assets</t>
  </si>
  <si>
    <t>Bonds issued</t>
  </si>
  <si>
    <t>Bank</t>
  </si>
  <si>
    <t>IBOR+IRS</t>
  </si>
  <si>
    <t>Tenor</t>
  </si>
  <si>
    <t>CZK</t>
  </si>
  <si>
    <t>EUR</t>
  </si>
  <si>
    <t>USD</t>
  </si>
  <si>
    <t>ON</t>
  </si>
  <si>
    <t>1W</t>
  </si>
  <si>
    <t>2W</t>
  </si>
  <si>
    <t>1M</t>
  </si>
  <si>
    <t>2M</t>
  </si>
  <si>
    <t>3M</t>
  </si>
  <si>
    <t>4M</t>
  </si>
  <si>
    <t>5M</t>
  </si>
  <si>
    <t>6M</t>
  </si>
  <si>
    <t>7M</t>
  </si>
  <si>
    <t>8M</t>
  </si>
  <si>
    <t>9M</t>
  </si>
  <si>
    <t>10M</t>
  </si>
  <si>
    <t>11M</t>
  </si>
  <si>
    <t>12M</t>
  </si>
  <si>
    <t>2Y</t>
  </si>
  <si>
    <t>3Y</t>
  </si>
  <si>
    <t>4Y</t>
  </si>
  <si>
    <t>5Y</t>
  </si>
  <si>
    <t>6Y</t>
  </si>
  <si>
    <t>7Y</t>
  </si>
  <si>
    <t>8Y</t>
  </si>
  <si>
    <t>9Y</t>
  </si>
  <si>
    <t>10Y</t>
  </si>
  <si>
    <t>12Y</t>
  </si>
  <si>
    <t>15Y</t>
  </si>
  <si>
    <t>20Y</t>
  </si>
  <si>
    <t>25Y</t>
  </si>
  <si>
    <t>30Y</t>
  </si>
  <si>
    <t>Show the balance sheet of the Bank, identify the amount of the missing item and propose what it could be.</t>
  </si>
  <si>
    <t>Liabilities and shareholder equity</t>
  </si>
  <si>
    <t>Retail deposits</t>
  </si>
  <si>
    <t>Bond investment</t>
  </si>
  <si>
    <t>Equity investment</t>
  </si>
  <si>
    <t>Corporate deposits</t>
  </si>
  <si>
    <t>The Bank has the following items in its balance sheet: shareholder equity of 30, retail deposits of 75, bond investment of 25, loans granted of 112, bonds issued of 8, equity investment of 17, and guarantee issued of 25 and corporate deposits of 36</t>
  </si>
  <si>
    <t>Loans granted</t>
  </si>
  <si>
    <t>TOTAL</t>
  </si>
  <si>
    <t>Shareholder equity</t>
  </si>
  <si>
    <t>Guarantee issued</t>
  </si>
  <si>
    <t>Initial investment</t>
  </si>
  <si>
    <t>Additional cash flows</t>
  </si>
  <si>
    <r>
      <t>t</t>
    </r>
    <r>
      <rPr>
        <sz val="8"/>
        <color theme="1"/>
        <rFont val="Calibri"/>
        <family val="2"/>
        <charset val="238"/>
        <scheme val="minor"/>
      </rPr>
      <t>1</t>
    </r>
  </si>
  <si>
    <r>
      <t>t</t>
    </r>
    <r>
      <rPr>
        <sz val="9"/>
        <color theme="1"/>
        <rFont val="Calibri"/>
        <family val="2"/>
        <charset val="238"/>
        <scheme val="minor"/>
      </rPr>
      <t>2</t>
    </r>
  </si>
  <si>
    <r>
      <t>t</t>
    </r>
    <r>
      <rPr>
        <sz val="9"/>
        <color theme="1"/>
        <rFont val="Calibri"/>
        <family val="2"/>
        <charset val="238"/>
        <scheme val="minor"/>
      </rPr>
      <t>3</t>
    </r>
  </si>
  <si>
    <r>
      <t>t</t>
    </r>
    <r>
      <rPr>
        <sz val="9"/>
        <color theme="1"/>
        <rFont val="Calibri"/>
        <family val="2"/>
        <charset val="238"/>
        <scheme val="minor"/>
      </rPr>
      <t>4</t>
    </r>
  </si>
  <si>
    <r>
      <t>t</t>
    </r>
    <r>
      <rPr>
        <sz val="9"/>
        <color theme="1"/>
        <rFont val="Calibri"/>
        <family val="2"/>
        <charset val="238"/>
        <scheme val="minor"/>
      </rPr>
      <t>0</t>
    </r>
  </si>
  <si>
    <t>Present value of cash flows</t>
  </si>
  <si>
    <t>Present value of the project</t>
  </si>
  <si>
    <t>Net present value of the project</t>
  </si>
  <si>
    <t>Discount factor</t>
  </si>
  <si>
    <t>Discount rate</t>
  </si>
  <si>
    <t>discount rate/2</t>
  </si>
  <si>
    <t>PV of the cash flow</t>
  </si>
  <si>
    <t>Expected issuing price</t>
  </si>
  <si>
    <t>discount rate (expected yield)</t>
  </si>
  <si>
    <t>Period</t>
  </si>
  <si>
    <t>Coupon payment (5,5%/2)</t>
  </si>
  <si>
    <t>Principal payment</t>
  </si>
  <si>
    <t>CSOB</t>
  </si>
  <si>
    <t>Moneta Money Bank</t>
  </si>
  <si>
    <t>Bank Creditas</t>
  </si>
  <si>
    <t>Rate (p.a.)</t>
  </si>
  <si>
    <t>Compounding</t>
  </si>
  <si>
    <t>APR (Effective interest rate)</t>
  </si>
  <si>
    <t>Unicreditbank</t>
  </si>
  <si>
    <t>Mortgage A</t>
  </si>
  <si>
    <t>Mortgage B</t>
  </si>
  <si>
    <t>Mortgage C</t>
  </si>
  <si>
    <t>Fixed investment</t>
  </si>
  <si>
    <t>Liabilities and Equity</t>
  </si>
  <si>
    <t>Current payables</t>
  </si>
  <si>
    <t xml:space="preserve">Equity </t>
  </si>
  <si>
    <t>Mortage B</t>
  </si>
  <si>
    <t xml:space="preserve">
Instalment</t>
  </si>
  <si>
    <t>Principal paid</t>
  </si>
  <si>
    <t>Principal left</t>
  </si>
  <si>
    <t xml:space="preserve">
Discount factor</t>
  </si>
  <si>
    <t xml:space="preserve"> PV of instalments</t>
  </si>
  <si>
    <t>Opening information</t>
  </si>
  <si>
    <t>Number of instalments</t>
  </si>
  <si>
    <t>Interest rate (r/12)</t>
  </si>
  <si>
    <t>Interest rate p.a.</t>
  </si>
  <si>
    <t>end of period</t>
  </si>
  <si>
    <t>End of period</t>
  </si>
  <si>
    <t>Interest income for the bank in 2020</t>
  </si>
  <si>
    <t xml:space="preserve">Mortgage A </t>
  </si>
  <si>
    <t xml:space="preserve">TOTAL </t>
  </si>
  <si>
    <r>
      <rPr>
        <sz val="14"/>
        <color theme="1"/>
        <rFont val="Calibri"/>
        <family val="2"/>
        <charset val="238"/>
        <scheme val="minor"/>
      </rPr>
      <t>s</t>
    </r>
    <r>
      <rPr>
        <sz val="10"/>
        <color theme="1"/>
        <rFont val="Calibri"/>
        <family val="2"/>
        <charset val="238"/>
        <scheme val="minor"/>
      </rPr>
      <t>2</t>
    </r>
  </si>
  <si>
    <r>
      <t>s</t>
    </r>
    <r>
      <rPr>
        <sz val="10"/>
        <color theme="1"/>
        <rFont val="Calibri"/>
        <family val="2"/>
        <charset val="238"/>
        <scheme val="minor"/>
      </rPr>
      <t>4</t>
    </r>
  </si>
  <si>
    <t>over 2 years horizon</t>
  </si>
  <si>
    <t>over 4 years horizon</t>
  </si>
  <si>
    <t>p.a.</t>
  </si>
  <si>
    <r>
      <rPr>
        <b/>
        <sz val="8"/>
        <color theme="1"/>
        <rFont val="Calibri"/>
        <family val="2"/>
        <charset val="238"/>
        <scheme val="minor"/>
      </rPr>
      <t>2</t>
    </r>
    <r>
      <rPr>
        <b/>
        <sz val="11"/>
        <color theme="1"/>
        <rFont val="Calibri"/>
        <family val="2"/>
        <charset val="238"/>
        <scheme val="minor"/>
      </rPr>
      <t>f</t>
    </r>
    <r>
      <rPr>
        <b/>
        <sz val="8"/>
        <color theme="1"/>
        <rFont val="Calibri"/>
        <family val="2"/>
        <charset val="238"/>
        <scheme val="minor"/>
      </rPr>
      <t>4</t>
    </r>
  </si>
  <si>
    <t>over 2 years horizon from end of year 2 to year 4</t>
  </si>
  <si>
    <t>annual rate</t>
  </si>
  <si>
    <r>
      <rPr>
        <sz val="8"/>
        <color theme="1"/>
        <rFont val="Calibri"/>
        <family val="2"/>
        <charset val="238"/>
        <scheme val="minor"/>
      </rPr>
      <t>2</t>
    </r>
    <r>
      <rPr>
        <sz val="11"/>
        <color theme="1"/>
        <rFont val="Calibri"/>
        <family val="2"/>
        <charset val="238"/>
        <scheme val="minor"/>
      </rPr>
      <t>f</t>
    </r>
    <r>
      <rPr>
        <sz val="8"/>
        <color theme="1"/>
        <rFont val="Calibri"/>
        <family val="2"/>
        <charset val="238"/>
        <scheme val="minor"/>
      </rPr>
      <t>4</t>
    </r>
  </si>
  <si>
    <t>January 2018</t>
  </si>
  <si>
    <t>January 2019</t>
  </si>
  <si>
    <t>January 2020</t>
  </si>
  <si>
    <t>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</si>
</sst>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Kč&quot;;[Red]\-#,##0.00\ &quot;Kč&quot;"/>
    <numFmt numFmtId="43" formatCode="_-* #,##0.00_-;\-* #,##0.00_-;_-* &quot;-&quot;??_-;_-@_-"/>
    <numFmt numFmtId="164" formatCode="0.000"/>
    <numFmt numFmtId="165" formatCode="_-* #,##0_-;\-* #,##0_-;_-* &quot;-&quot;??_-;_-@_-"/>
    <numFmt numFmtId="166" formatCode="0.00000"/>
    <numFmt numFmtId="167" formatCode="0.000%"/>
    <numFmt numFmtId="168" formatCode="0.0000"/>
    <numFmt numFmtId="169" formatCode="0.0%"/>
    <numFmt numFmtId="170" formatCode="0.000000%"/>
    <numFmt numFmtId="171" formatCode="0.0"/>
    <numFmt numFmtId="172" formatCode="0.0000%"/>
  </numFmts>
  <fonts count="22">
    <font>
      <sz val="11"/>
      <color theme="1"/>
      <name val="Calibri"/>
      <family val="2"/>
      <charset val="238"/>
      <scheme val="minor"/>
    </font>
    <font>
      <sz val="9"/>
      <color theme="1"/>
      <name val="Times New Roman"/>
      <family val="1"/>
      <charset val="238"/>
    </font>
    <font>
      <b/>
      <sz val="9"/>
      <name val="Times New Roman"/>
      <family val="1"/>
      <charset val="238"/>
    </font>
    <font>
      <sz val="9"/>
      <name val="Times New Roman"/>
      <family val="1"/>
      <charset val="238"/>
    </font>
    <font>
      <b/>
      <sz val="11"/>
      <color theme="1"/>
      <name val="Calibri"/>
      <family val="2"/>
      <charset val="238"/>
      <scheme val="minor"/>
    </font>
    <font>
      <b/>
      <sz val="11"/>
      <color rgb="FFFF0000"/>
      <name val="Calibri"/>
      <family val="2"/>
      <charset val="238"/>
      <scheme val="minor"/>
    </font>
    <font>
      <sz val="11"/>
      <color theme="1"/>
      <name val="Calibri"/>
      <family val="2"/>
      <charset val="238"/>
      <scheme val="minor"/>
    </font>
    <font>
      <sz val="10"/>
      <name val="Calibri"/>
      <family val="2"/>
      <charset val="238"/>
      <scheme val="minor"/>
    </font>
    <font>
      <sz val="11"/>
      <name val="Calibri"/>
      <family val="2"/>
      <charset val="238"/>
      <scheme val="minor"/>
    </font>
    <font>
      <b/>
      <sz val="10"/>
      <name val="Calibri"/>
      <family val="2"/>
      <charset val="238"/>
      <scheme val="minor"/>
    </font>
    <font>
      <sz val="11"/>
      <color rgb="FF212529"/>
      <name val="-apple-system"/>
    </font>
    <font>
      <b/>
      <sz val="12"/>
      <name val="Calibri"/>
      <family val="2"/>
      <charset val="238"/>
      <scheme val="minor"/>
    </font>
    <font>
      <sz val="12"/>
      <color theme="1"/>
      <name val="Calibri"/>
      <family val="2"/>
      <charset val="238"/>
      <scheme val="minor"/>
    </font>
    <font>
      <sz val="12"/>
      <name val="Calibri"/>
      <family val="2"/>
      <charset val="238"/>
      <scheme val="minor"/>
    </font>
    <font>
      <sz val="9"/>
      <color theme="1"/>
      <name val="Calibri"/>
      <family val="2"/>
      <charset val="238"/>
      <scheme val="minor"/>
    </font>
    <font>
      <sz val="8"/>
      <color theme="1"/>
      <name val="Calibri"/>
      <family val="2"/>
      <charset val="238"/>
      <scheme val="minor"/>
    </font>
    <font>
      <b/>
      <i/>
      <sz val="11"/>
      <color theme="1"/>
      <name val="Calibri"/>
      <family val="2"/>
      <charset val="238"/>
      <scheme val="minor"/>
    </font>
    <font>
      <i/>
      <sz val="11"/>
      <color theme="1"/>
      <name val="Calibri"/>
      <family val="2"/>
      <charset val="238"/>
      <scheme val="minor"/>
    </font>
    <font>
      <sz val="8"/>
      <name val="Calibri"/>
      <family val="2"/>
      <charset val="238"/>
      <scheme val="minor"/>
    </font>
    <font>
      <sz val="10"/>
      <color theme="1"/>
      <name val="Calibri"/>
      <family val="2"/>
      <charset val="238"/>
      <scheme val="minor"/>
    </font>
    <font>
      <sz val="14"/>
      <color theme="1"/>
      <name val="Calibri"/>
      <family val="2"/>
      <charset val="238"/>
      <scheme val="minor"/>
    </font>
    <font>
      <b/>
      <sz val="8"/>
      <color theme="1"/>
      <name val="Calibri"/>
      <family val="2"/>
      <charset val="238"/>
      <scheme val="minor"/>
    </font>
  </fonts>
  <fills count="11">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39997558519241921"/>
        <bgColor indexed="64"/>
      </patternFill>
    </fill>
    <fill>
      <patternFill patternType="solid">
        <fgColor theme="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188">
    <xf numFmtId="0" fontId="0" fillId="0" borderId="0" xfId="0"/>
    <xf numFmtId="0" fontId="1" fillId="0" borderId="0" xfId="0" applyFont="1"/>
    <xf numFmtId="0" fontId="2" fillId="0" borderId="0" xfId="0" applyFont="1"/>
    <xf numFmtId="0" fontId="3" fillId="4" borderId="1" xfId="0" applyFont="1" applyFill="1" applyBorder="1" applyAlignment="1">
      <alignment horizontal="justify" vertical="top" wrapText="1"/>
    </xf>
    <xf numFmtId="0" fontId="1" fillId="0" borderId="0" xfId="0" applyFont="1" applyBorder="1"/>
    <xf numFmtId="0" fontId="3" fillId="0" borderId="0" xfId="0" applyFont="1" applyAlignment="1">
      <alignment horizontal="justify"/>
    </xf>
    <xf numFmtId="0" fontId="2" fillId="0" borderId="0" xfId="0" applyFont="1" applyAlignment="1">
      <alignment horizontal="justify"/>
    </xf>
    <xf numFmtId="0" fontId="2" fillId="0" borderId="7" xfId="0" applyFont="1" applyBorder="1"/>
    <xf numFmtId="0" fontId="2" fillId="0" borderId="0" xfId="0" applyFont="1" applyBorder="1"/>
    <xf numFmtId="0" fontId="1" fillId="0" borderId="9" xfId="0" applyFont="1" applyBorder="1"/>
    <xf numFmtId="3" fontId="1" fillId="0" borderId="10" xfId="0" applyNumberFormat="1" applyFont="1" applyBorder="1"/>
    <xf numFmtId="0" fontId="1" fillId="0" borderId="11" xfId="0" applyFont="1" applyBorder="1"/>
    <xf numFmtId="3" fontId="1" fillId="0" borderId="12" xfId="0" applyNumberFormat="1" applyFont="1" applyBorder="1"/>
    <xf numFmtId="0" fontId="1" fillId="0" borderId="12" xfId="0" applyFont="1" applyBorder="1"/>
    <xf numFmtId="0" fontId="1" fillId="3" borderId="5" xfId="0" applyFont="1" applyFill="1" applyBorder="1"/>
    <xf numFmtId="0" fontId="2" fillId="3" borderId="14" xfId="0" applyFont="1" applyFill="1" applyBorder="1"/>
    <xf numFmtId="3" fontId="2" fillId="3" borderId="15" xfId="0" applyNumberFormat="1" applyFont="1" applyFill="1" applyBorder="1"/>
    <xf numFmtId="0" fontId="4" fillId="0" borderId="1" xfId="0" applyFont="1" applyBorder="1"/>
    <xf numFmtId="0" fontId="0" fillId="0" borderId="1" xfId="0" applyBorder="1"/>
    <xf numFmtId="10" fontId="0" fillId="0" borderId="0" xfId="0" applyNumberFormat="1"/>
    <xf numFmtId="0" fontId="4" fillId="0" borderId="0" xfId="0" applyFont="1"/>
    <xf numFmtId="2" fontId="4" fillId="0" borderId="0" xfId="0" applyNumberFormat="1" applyFont="1"/>
    <xf numFmtId="2" fontId="0" fillId="0" borderId="0" xfId="0" applyNumberFormat="1"/>
    <xf numFmtId="164" fontId="0" fillId="0" borderId="0" xfId="0" applyNumberFormat="1"/>
    <xf numFmtId="0" fontId="0" fillId="0" borderId="27" xfId="0" applyBorder="1"/>
    <xf numFmtId="165" fontId="2" fillId="3" borderId="13" xfId="1" applyNumberFormat="1" applyFont="1" applyFill="1" applyBorder="1"/>
    <xf numFmtId="165" fontId="1" fillId="0" borderId="0" xfId="1" applyNumberFormat="1" applyFont="1" applyBorder="1"/>
    <xf numFmtId="165" fontId="1" fillId="0" borderId="8" xfId="1" applyNumberFormat="1" applyFont="1" applyBorder="1"/>
    <xf numFmtId="0" fontId="7" fillId="0" borderId="1" xfId="0" applyFont="1" applyBorder="1" applyAlignment="1">
      <alignment horizontal="left" vertical="center"/>
    </xf>
    <xf numFmtId="0" fontId="7" fillId="0" borderId="1" xfId="0" applyFont="1" applyBorder="1"/>
    <xf numFmtId="0" fontId="9" fillId="0" borderId="1" xfId="0" applyFont="1" applyBorder="1" applyAlignment="1">
      <alignment horizontal="left" vertical="center"/>
    </xf>
    <xf numFmtId="0" fontId="0" fillId="4" borderId="0" xfId="0" applyFill="1"/>
    <xf numFmtId="0" fontId="0" fillId="4" borderId="1" xfId="0" applyFill="1" applyBorder="1" applyAlignment="1">
      <alignment wrapText="1"/>
    </xf>
    <xf numFmtId="0" fontId="0" fillId="4" borderId="1" xfId="0" applyFill="1" applyBorder="1"/>
    <xf numFmtId="2" fontId="0" fillId="4" borderId="1" xfId="0" applyNumberFormat="1" applyFill="1" applyBorder="1"/>
    <xf numFmtId="0" fontId="4" fillId="4" borderId="0" xfId="0" applyFont="1" applyFill="1"/>
    <xf numFmtId="14" fontId="0" fillId="0" borderId="0" xfId="0" applyNumberFormat="1"/>
    <xf numFmtId="0" fontId="10" fillId="0" borderId="0" xfId="0" applyFont="1" applyAlignment="1">
      <alignment horizontal="left" vertical="center" readingOrder="1"/>
    </xf>
    <xf numFmtId="0" fontId="9" fillId="0" borderId="1" xfId="0" applyFont="1" applyBorder="1"/>
    <xf numFmtId="0" fontId="11" fillId="0" borderId="1" xfId="0" applyFont="1" applyBorder="1"/>
    <xf numFmtId="0" fontId="13" fillId="0" borderId="1" xfId="0" applyFont="1" applyBorder="1"/>
    <xf numFmtId="0" fontId="0" fillId="0" borderId="0" xfId="0"/>
    <xf numFmtId="2" fontId="0" fillId="0" borderId="0" xfId="0" applyNumberFormat="1"/>
    <xf numFmtId="14" fontId="0" fillId="0" borderId="0" xfId="0" applyNumberFormat="1"/>
    <xf numFmtId="9" fontId="4" fillId="4" borderId="0" xfId="0" applyNumberFormat="1" applyFont="1" applyFill="1"/>
    <xf numFmtId="166" fontId="0" fillId="4" borderId="1" xfId="0" applyNumberFormat="1" applyFill="1" applyBorder="1"/>
    <xf numFmtId="0" fontId="4" fillId="4" borderId="1" xfId="0" applyFont="1" applyFill="1" applyBorder="1"/>
    <xf numFmtId="0" fontId="4" fillId="4" borderId="0" xfId="0" applyFont="1" applyFill="1" applyAlignment="1">
      <alignment vertical="center"/>
    </xf>
    <xf numFmtId="43" fontId="0" fillId="4" borderId="1" xfId="1" applyFont="1" applyFill="1" applyBorder="1"/>
    <xf numFmtId="43" fontId="0" fillId="4" borderId="0" xfId="1" applyFont="1" applyFill="1"/>
    <xf numFmtId="165" fontId="0" fillId="4" borderId="1" xfId="1" applyNumberFormat="1" applyFont="1" applyFill="1" applyBorder="1"/>
    <xf numFmtId="165" fontId="0" fillId="4" borderId="0" xfId="1" applyNumberFormat="1" applyFont="1" applyFill="1"/>
    <xf numFmtId="165" fontId="4" fillId="4" borderId="0" xfId="1" applyNumberFormat="1" applyFont="1" applyFill="1"/>
    <xf numFmtId="43" fontId="4" fillId="4" borderId="1" xfId="1" applyFont="1" applyFill="1" applyBorder="1"/>
    <xf numFmtId="14" fontId="0" fillId="4" borderId="0" xfId="0" applyNumberFormat="1" applyFill="1"/>
    <xf numFmtId="164" fontId="0" fillId="4" borderId="0" xfId="0" applyNumberFormat="1" applyFill="1"/>
    <xf numFmtId="0" fontId="16" fillId="4" borderId="0" xfId="0" applyFont="1" applyFill="1" applyAlignment="1">
      <alignment horizontal="center" vertical="center" wrapText="1"/>
    </xf>
    <xf numFmtId="0" fontId="0" fillId="4" borderId="0" xfId="0" applyFill="1" applyAlignment="1">
      <alignment horizontal="center"/>
    </xf>
    <xf numFmtId="164" fontId="0" fillId="4" borderId="0" xfId="0" applyNumberFormat="1" applyFill="1" applyAlignment="1">
      <alignment horizontal="center"/>
    </xf>
    <xf numFmtId="0" fontId="0" fillId="0" borderId="0" xfId="0" applyAlignment="1">
      <alignment horizontal="center"/>
    </xf>
    <xf numFmtId="0" fontId="4" fillId="4" borderId="5" xfId="0" applyFont="1" applyFill="1" applyBorder="1"/>
    <xf numFmtId="164" fontId="4" fillId="4" borderId="13" xfId="0" applyNumberFormat="1" applyFont="1" applyFill="1" applyBorder="1"/>
    <xf numFmtId="164" fontId="4" fillId="4" borderId="6" xfId="0" applyNumberFormat="1" applyFont="1" applyFill="1" applyBorder="1" applyAlignment="1">
      <alignment horizontal="center" vertical="center"/>
    </xf>
    <xf numFmtId="0" fontId="17" fillId="4" borderId="0" xfId="0" applyFont="1" applyFill="1"/>
    <xf numFmtId="10" fontId="17" fillId="4" borderId="0" xfId="0" applyNumberFormat="1" applyFont="1" applyFill="1"/>
    <xf numFmtId="10" fontId="17" fillId="4" borderId="0" xfId="2" applyNumberFormat="1" applyFont="1" applyFill="1"/>
    <xf numFmtId="167" fontId="0" fillId="0" borderId="0" xfId="0" applyNumberFormat="1"/>
    <xf numFmtId="0" fontId="0" fillId="4" borderId="3" xfId="0" applyFill="1" applyBorder="1"/>
    <xf numFmtId="10" fontId="0" fillId="4" borderId="0" xfId="0" applyNumberFormat="1" applyFill="1" applyBorder="1"/>
    <xf numFmtId="0" fontId="0" fillId="4" borderId="0" xfId="0" applyFill="1" applyBorder="1"/>
    <xf numFmtId="167" fontId="0" fillId="4" borderId="4" xfId="0" applyNumberFormat="1" applyFill="1" applyBorder="1"/>
    <xf numFmtId="0" fontId="0" fillId="4" borderId="32" xfId="0" applyFill="1" applyBorder="1"/>
    <xf numFmtId="10" fontId="0" fillId="4" borderId="23" xfId="0" applyNumberFormat="1" applyFill="1" applyBorder="1"/>
    <xf numFmtId="0" fontId="0" fillId="4" borderId="23" xfId="0" applyFill="1" applyBorder="1"/>
    <xf numFmtId="167" fontId="0" fillId="4" borderId="2" xfId="0" applyNumberFormat="1" applyFill="1" applyBorder="1"/>
    <xf numFmtId="0" fontId="4" fillId="6" borderId="29" xfId="0" applyFont="1" applyFill="1" applyBorder="1"/>
    <xf numFmtId="0" fontId="4" fillId="6" borderId="30" xfId="0" applyFont="1" applyFill="1" applyBorder="1"/>
    <xf numFmtId="0" fontId="4" fillId="6" borderId="31" xfId="0" applyFont="1" applyFill="1" applyBorder="1"/>
    <xf numFmtId="168" fontId="0" fillId="4" borderId="1" xfId="0" applyNumberFormat="1" applyFill="1" applyBorder="1"/>
    <xf numFmtId="0" fontId="0" fillId="4" borderId="27" xfId="0" applyFill="1" applyBorder="1"/>
    <xf numFmtId="0" fontId="0" fillId="4" borderId="1" xfId="0" applyFill="1" applyBorder="1" applyAlignment="1">
      <alignment horizontal="right" wrapText="1"/>
    </xf>
    <xf numFmtId="8" fontId="0" fillId="4" borderId="1" xfId="0" applyNumberFormat="1" applyFill="1" applyBorder="1"/>
    <xf numFmtId="0" fontId="0" fillId="0" borderId="1" xfId="0" applyBorder="1" applyAlignment="1">
      <alignment wrapText="1"/>
    </xf>
    <xf numFmtId="0" fontId="0" fillId="0" borderId="0" xfId="0" applyFill="1"/>
    <xf numFmtId="169" fontId="0" fillId="4" borderId="1" xfId="2" applyNumberFormat="1" applyFont="1" applyFill="1" applyBorder="1"/>
    <xf numFmtId="170" fontId="0" fillId="0" borderId="1" xfId="2" applyNumberFormat="1" applyFont="1" applyBorder="1"/>
    <xf numFmtId="0" fontId="16" fillId="0" borderId="1" xfId="0" applyFont="1" applyFill="1" applyBorder="1"/>
    <xf numFmtId="0" fontId="0" fillId="0" borderId="1" xfId="0" applyFill="1" applyBorder="1"/>
    <xf numFmtId="0" fontId="4" fillId="0" borderId="1" xfId="0" applyFont="1" applyFill="1" applyBorder="1"/>
    <xf numFmtId="0" fontId="0" fillId="0" borderId="1" xfId="0" applyFill="1" applyBorder="1" applyAlignment="1">
      <alignment horizontal="center"/>
    </xf>
    <xf numFmtId="0" fontId="16" fillId="4" borderId="0" xfId="0" applyFont="1" applyFill="1"/>
    <xf numFmtId="2" fontId="0" fillId="4" borderId="27" xfId="0" applyNumberFormat="1" applyFill="1" applyBorder="1"/>
    <xf numFmtId="2" fontId="0" fillId="4" borderId="20" xfId="0" applyNumberFormat="1" applyFill="1" applyBorder="1"/>
    <xf numFmtId="0" fontId="0" fillId="4" borderId="28" xfId="0" applyFill="1" applyBorder="1" applyAlignment="1">
      <alignment wrapText="1"/>
    </xf>
    <xf numFmtId="2" fontId="0" fillId="4" borderId="25" xfId="0" applyNumberFormat="1" applyFill="1" applyBorder="1"/>
    <xf numFmtId="168" fontId="0" fillId="4" borderId="20" xfId="0" applyNumberFormat="1" applyFill="1" applyBorder="1"/>
    <xf numFmtId="171" fontId="0" fillId="0" borderId="1" xfId="0" applyNumberFormat="1" applyFill="1" applyBorder="1" applyAlignment="1">
      <alignment horizontal="right"/>
    </xf>
    <xf numFmtId="171" fontId="4" fillId="0" borderId="1" xfId="0" applyNumberFormat="1" applyFont="1" applyFill="1" applyBorder="1"/>
    <xf numFmtId="171" fontId="4" fillId="0" borderId="1" xfId="0" applyNumberFormat="1" applyFont="1" applyBorder="1"/>
    <xf numFmtId="171" fontId="5" fillId="0" borderId="1" xfId="0" applyNumberFormat="1" applyFont="1" applyFill="1" applyBorder="1"/>
    <xf numFmtId="0" fontId="0" fillId="0" borderId="1" xfId="0" applyFill="1" applyBorder="1" applyAlignment="1">
      <alignment horizontal="right"/>
    </xf>
    <xf numFmtId="0" fontId="4" fillId="0" borderId="1" xfId="0" applyFont="1" applyFill="1" applyBorder="1" applyAlignment="1">
      <alignment horizontal="right"/>
    </xf>
    <xf numFmtId="0" fontId="0" fillId="7" borderId="1" xfId="0" applyFill="1" applyBorder="1"/>
    <xf numFmtId="2" fontId="0" fillId="7" borderId="1" xfId="0" applyNumberFormat="1" applyFill="1" applyBorder="1"/>
    <xf numFmtId="2" fontId="5" fillId="7" borderId="26" xfId="0" applyNumberFormat="1" applyFont="1" applyFill="1" applyBorder="1"/>
    <xf numFmtId="0" fontId="0" fillId="0" borderId="1" xfId="0" applyBorder="1" applyAlignment="1">
      <alignment horizontal="right"/>
    </xf>
    <xf numFmtId="0" fontId="0" fillId="4" borderId="20" xfId="0" applyFill="1" applyBorder="1" applyAlignment="1">
      <alignment horizontal="right"/>
    </xf>
    <xf numFmtId="0" fontId="0" fillId="4" borderId="1" xfId="0" applyFill="1" applyBorder="1" applyAlignment="1">
      <alignment horizontal="right"/>
    </xf>
    <xf numFmtId="0" fontId="0" fillId="5" borderId="0" xfId="0" applyFill="1"/>
    <xf numFmtId="2" fontId="0" fillId="5" borderId="0" xfId="0" applyNumberFormat="1" applyFill="1"/>
    <xf numFmtId="0" fontId="20" fillId="0" borderId="0" xfId="0" applyFont="1"/>
    <xf numFmtId="2" fontId="0" fillId="4" borderId="0" xfId="0" applyNumberFormat="1" applyFill="1"/>
    <xf numFmtId="167" fontId="0" fillId="0" borderId="0" xfId="2" applyNumberFormat="1" applyFont="1"/>
    <xf numFmtId="0" fontId="4" fillId="0" borderId="5" xfId="0" applyFont="1" applyBorder="1"/>
    <xf numFmtId="172" fontId="4" fillId="0" borderId="13" xfId="2" applyNumberFormat="1" applyFont="1" applyBorder="1"/>
    <xf numFmtId="0" fontId="4" fillId="0" borderId="6" xfId="0" applyFont="1" applyBorder="1"/>
    <xf numFmtId="0" fontId="4" fillId="5" borderId="0" xfId="0" applyFont="1" applyFill="1"/>
    <xf numFmtId="0" fontId="0" fillId="7" borderId="0" xfId="0" applyFill="1"/>
    <xf numFmtId="2" fontId="0" fillId="7" borderId="0" xfId="0" applyNumberFormat="1" applyFill="1"/>
    <xf numFmtId="2" fontId="0" fillId="8" borderId="0" xfId="0" applyNumberFormat="1" applyFill="1"/>
    <xf numFmtId="0" fontId="0" fillId="8" borderId="0" xfId="0" applyFill="1"/>
    <xf numFmtId="0" fontId="0" fillId="0" borderId="5" xfId="0" applyFont="1" applyBorder="1"/>
    <xf numFmtId="167" fontId="4" fillId="0" borderId="6" xfId="2" applyNumberFormat="1" applyFont="1" applyBorder="1"/>
    <xf numFmtId="167" fontId="4" fillId="0" borderId="13" xfId="2" applyNumberFormat="1" applyFont="1" applyBorder="1"/>
    <xf numFmtId="0" fontId="0" fillId="9" borderId="1" xfId="0" applyFill="1" applyBorder="1"/>
    <xf numFmtId="2" fontId="0" fillId="9" borderId="1" xfId="0" applyNumberFormat="1" applyFill="1" applyBorder="1"/>
    <xf numFmtId="168" fontId="0" fillId="9" borderId="1" xfId="0" applyNumberFormat="1" applyFill="1" applyBorder="1"/>
    <xf numFmtId="0" fontId="1" fillId="10" borderId="0" xfId="0" applyFont="1" applyFill="1"/>
    <xf numFmtId="0" fontId="1" fillId="4" borderId="0" xfId="0" applyFont="1" applyFill="1"/>
    <xf numFmtId="0" fontId="2" fillId="4" borderId="0" xfId="0" applyFont="1" applyFill="1"/>
    <xf numFmtId="0" fontId="2" fillId="4" borderId="7" xfId="0" applyFont="1" applyFill="1" applyBorder="1"/>
    <xf numFmtId="0" fontId="2" fillId="4" borderId="16" xfId="0" applyFont="1" applyFill="1" applyBorder="1"/>
    <xf numFmtId="0" fontId="1" fillId="4" borderId="0" xfId="0" applyFont="1" applyFill="1" applyBorder="1"/>
    <xf numFmtId="3" fontId="1" fillId="4" borderId="10" xfId="0" applyNumberFormat="1" applyFont="1" applyFill="1" applyBorder="1"/>
    <xf numFmtId="3" fontId="1" fillId="4" borderId="4" xfId="0" applyNumberFormat="1" applyFont="1" applyFill="1" applyBorder="1"/>
    <xf numFmtId="0" fontId="1" fillId="4" borderId="12" xfId="0" applyFont="1" applyFill="1" applyBorder="1"/>
    <xf numFmtId="0" fontId="1" fillId="4" borderId="4" xfId="0" applyFont="1" applyFill="1" applyBorder="1"/>
    <xf numFmtId="0" fontId="3" fillId="4" borderId="0" xfId="0" applyFont="1" applyFill="1" applyBorder="1"/>
    <xf numFmtId="0" fontId="1" fillId="4" borderId="5" xfId="0" applyFont="1" applyFill="1" applyBorder="1"/>
    <xf numFmtId="165" fontId="2" fillId="4" borderId="17" xfId="1" applyNumberFormat="1" applyFont="1" applyFill="1" applyBorder="1"/>
    <xf numFmtId="0" fontId="2" fillId="4" borderId="13" xfId="0" applyFont="1" applyFill="1" applyBorder="1"/>
    <xf numFmtId="3" fontId="2" fillId="4" borderId="6" xfId="0" applyNumberFormat="1" applyFont="1" applyFill="1" applyBorder="1"/>
    <xf numFmtId="165" fontId="1" fillId="4" borderId="12" xfId="1" applyNumberFormat="1" applyFont="1" applyFill="1" applyBorder="1"/>
    <xf numFmtId="0" fontId="1" fillId="4" borderId="7" xfId="0" applyFont="1" applyFill="1" applyBorder="1"/>
    <xf numFmtId="165" fontId="1" fillId="4" borderId="18" xfId="1" applyNumberFormat="1" applyFont="1" applyFill="1" applyBorder="1"/>
    <xf numFmtId="0" fontId="2" fillId="4" borderId="19" xfId="0" applyFont="1" applyFill="1" applyBorder="1"/>
    <xf numFmtId="3" fontId="2" fillId="4" borderId="20" xfId="0" applyNumberFormat="1" applyFont="1" applyFill="1" applyBorder="1"/>
    <xf numFmtId="0" fontId="2" fillId="4" borderId="29" xfId="0" applyFont="1" applyFill="1" applyBorder="1"/>
    <xf numFmtId="0" fontId="1" fillId="4" borderId="30" xfId="0" applyFont="1" applyFill="1" applyBorder="1"/>
    <xf numFmtId="0" fontId="1" fillId="4" borderId="31" xfId="0" applyFont="1" applyFill="1" applyBorder="1"/>
    <xf numFmtId="0" fontId="2" fillId="4" borderId="33" xfId="0" applyFont="1" applyFill="1" applyBorder="1"/>
    <xf numFmtId="0" fontId="1" fillId="4" borderId="3" xfId="0" applyFont="1" applyFill="1" applyBorder="1"/>
    <xf numFmtId="0" fontId="1" fillId="4" borderId="10" xfId="0" applyFont="1" applyFill="1" applyBorder="1"/>
    <xf numFmtId="0" fontId="1" fillId="4" borderId="9" xfId="0" applyFont="1" applyFill="1" applyBorder="1"/>
    <xf numFmtId="3" fontId="1" fillId="4" borderId="21" xfId="0" applyNumberFormat="1" applyFont="1" applyFill="1" applyBorder="1"/>
    <xf numFmtId="0" fontId="1" fillId="4" borderId="11" xfId="0" applyFont="1" applyFill="1" applyBorder="1"/>
    <xf numFmtId="3" fontId="1" fillId="4" borderId="12" xfId="0" applyNumberFormat="1" applyFont="1" applyFill="1" applyBorder="1"/>
    <xf numFmtId="0" fontId="2" fillId="4" borderId="3" xfId="0" applyFont="1" applyFill="1" applyBorder="1"/>
    <xf numFmtId="165" fontId="1" fillId="4" borderId="0" xfId="1" applyNumberFormat="1" applyFont="1" applyFill="1" applyBorder="1"/>
    <xf numFmtId="3" fontId="1" fillId="4" borderId="0" xfId="0" applyNumberFormat="1" applyFont="1" applyFill="1" applyBorder="1"/>
    <xf numFmtId="0" fontId="1" fillId="4" borderId="32" xfId="0" applyFont="1" applyFill="1" applyBorder="1"/>
    <xf numFmtId="0" fontId="1" fillId="4" borderId="23" xfId="0" applyFont="1" applyFill="1" applyBorder="1"/>
    <xf numFmtId="0" fontId="2" fillId="4" borderId="0" xfId="0" applyFont="1" applyFill="1" applyBorder="1"/>
    <xf numFmtId="165" fontId="1" fillId="4" borderId="4" xfId="1" applyNumberFormat="1" applyFont="1" applyFill="1" applyBorder="1"/>
    <xf numFmtId="0" fontId="1" fillId="4" borderId="2" xfId="0" applyFont="1" applyFill="1" applyBorder="1"/>
    <xf numFmtId="0" fontId="2" fillId="4" borderId="22" xfId="0" applyFont="1" applyFill="1" applyBorder="1"/>
    <xf numFmtId="3" fontId="2" fillId="4" borderId="13" xfId="0" applyNumberFormat="1" applyFont="1" applyFill="1" applyBorder="1"/>
    <xf numFmtId="0" fontId="1" fillId="4" borderId="24" xfId="0" applyFont="1" applyFill="1" applyBorder="1"/>
    <xf numFmtId="0" fontId="2" fillId="4" borderId="17" xfId="0" applyFont="1" applyFill="1" applyBorder="1"/>
    <xf numFmtId="2" fontId="8" fillId="4" borderId="26" xfId="0" applyNumberFormat="1" applyFont="1" applyFill="1" applyBorder="1"/>
    <xf numFmtId="0" fontId="1" fillId="0" borderId="0" xfId="0" applyFont="1" applyFill="1"/>
    <xf numFmtId="0" fontId="3" fillId="0" borderId="0" xfId="0" applyFont="1" applyFill="1"/>
    <xf numFmtId="0" fontId="11" fillId="0" borderId="27" xfId="0" applyFont="1" applyBorder="1" applyAlignment="1">
      <alignment horizontal="left" vertical="center"/>
    </xf>
    <xf numFmtId="0" fontId="12" fillId="0" borderId="20" xfId="0" applyFont="1" applyBorder="1" applyAlignment="1"/>
    <xf numFmtId="0" fontId="4" fillId="4" borderId="0" xfId="0" applyFont="1" applyFill="1" applyAlignment="1">
      <alignment horizontal="left" vertical="top" wrapText="1"/>
    </xf>
    <xf numFmtId="0" fontId="4" fillId="4" borderId="7" xfId="0" applyFont="1" applyFill="1" applyBorder="1" applyAlignment="1">
      <alignment horizontal="left" vertical="top" wrapText="1"/>
    </xf>
    <xf numFmtId="0" fontId="2" fillId="4" borderId="3" xfId="0" applyFont="1" applyFill="1" applyBorder="1" applyAlignment="1">
      <alignment horizontal="center"/>
    </xf>
    <xf numFmtId="0" fontId="1" fillId="4" borderId="0" xfId="0" applyFont="1" applyFill="1" applyBorder="1" applyAlignment="1">
      <alignment horizontal="center"/>
    </xf>
    <xf numFmtId="0" fontId="1" fillId="4" borderId="4" xfId="0" applyFont="1" applyFill="1" applyBorder="1" applyAlignment="1">
      <alignment horizontal="center"/>
    </xf>
    <xf numFmtId="0" fontId="3" fillId="4" borderId="1" xfId="0" applyFont="1" applyFill="1" applyBorder="1" applyAlignment="1">
      <alignment horizontal="justify" vertical="top" wrapText="1"/>
    </xf>
    <xf numFmtId="0" fontId="3" fillId="4" borderId="1" xfId="0" applyFont="1" applyFill="1" applyBorder="1" applyAlignment="1"/>
    <xf numFmtId="0" fontId="2"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 fillId="0" borderId="3" xfId="0" applyFont="1" applyFill="1" applyBorder="1" applyAlignment="1">
      <alignment horizontal="justify" vertical="top" wrapText="1"/>
    </xf>
    <xf numFmtId="0" fontId="2" fillId="2" borderId="0" xfId="0" applyFont="1" applyFill="1" applyAlignment="1">
      <alignment horizontal="center"/>
    </xf>
    <xf numFmtId="0" fontId="1" fillId="2" borderId="0" xfId="0" applyFont="1" applyFill="1" applyAlignment="1">
      <alignment horizontal="center"/>
    </xf>
    <xf numFmtId="0" fontId="2" fillId="4" borderId="0" xfId="0" applyFont="1" applyFill="1" applyBorder="1" applyAlignment="1">
      <alignment horizontal="center"/>
    </xf>
    <xf numFmtId="168" fontId="4" fillId="9" borderId="1" xfId="0" applyNumberFormat="1" applyFont="1" applyFill="1" applyBorder="1"/>
  </cellXfs>
  <cellStyles count="3">
    <cellStyle name="Čárka" xfId="1" builtinId="3"/>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a:t>Yield curve, CZK, EUR, USD</a:t>
            </a:r>
          </a:p>
          <a:p>
            <a:pPr>
              <a:defRPr/>
            </a:pPr>
            <a:r>
              <a:rPr lang="cs-CZ"/>
              <a:t>as of 14.9.2020 (IBOR</a:t>
            </a:r>
            <a:r>
              <a:rPr lang="cs-CZ" baseline="0"/>
              <a:t> + IRS rates)</a:t>
            </a:r>
            <a:endParaRPr lang="cs-C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lineChart>
        <c:grouping val="standard"/>
        <c:varyColors val="0"/>
        <c:ser>
          <c:idx val="0"/>
          <c:order val="0"/>
          <c:tx>
            <c:strRef>
              <c:f>'[1]Yield curve'!$B$1:$B$2</c:f>
              <c:strCache>
                <c:ptCount val="1"/>
                <c:pt idx="0">
                  <c:v>CZK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'[1]Yield curve'!$A$3:$A$32</c:f>
              <c:strCache>
                <c:ptCount val="30"/>
                <c:pt idx="1">
                  <c:v>ON</c:v>
                </c:pt>
                <c:pt idx="2">
                  <c:v>1W</c:v>
                </c:pt>
                <c:pt idx="3">
                  <c:v>2W</c:v>
                </c:pt>
                <c:pt idx="4">
                  <c:v>1M</c:v>
                </c:pt>
                <c:pt idx="5">
                  <c:v>2M</c:v>
                </c:pt>
                <c:pt idx="6">
                  <c:v>3M</c:v>
                </c:pt>
                <c:pt idx="7">
                  <c:v>4M</c:v>
                </c:pt>
                <c:pt idx="8">
                  <c:v>5M</c:v>
                </c:pt>
                <c:pt idx="9">
                  <c:v>6M</c:v>
                </c:pt>
                <c:pt idx="10">
                  <c:v>7M</c:v>
                </c:pt>
                <c:pt idx="11">
                  <c:v>8M</c:v>
                </c:pt>
                <c:pt idx="12">
                  <c:v>9M</c:v>
                </c:pt>
                <c:pt idx="13">
                  <c:v>10M</c:v>
                </c:pt>
                <c:pt idx="14">
                  <c:v>11M</c:v>
                </c:pt>
                <c:pt idx="15">
                  <c:v>12M</c:v>
                </c:pt>
                <c:pt idx="16">
                  <c:v>2Y</c:v>
                </c:pt>
                <c:pt idx="17">
                  <c:v>3Y</c:v>
                </c:pt>
                <c:pt idx="18">
                  <c:v>4Y</c:v>
                </c:pt>
                <c:pt idx="19">
                  <c:v>5Y</c:v>
                </c:pt>
                <c:pt idx="20">
                  <c:v>6Y</c:v>
                </c:pt>
                <c:pt idx="21">
                  <c:v>7Y</c:v>
                </c:pt>
                <c:pt idx="22">
                  <c:v>8Y</c:v>
                </c:pt>
                <c:pt idx="23">
                  <c:v>9Y</c:v>
                </c:pt>
                <c:pt idx="24">
                  <c:v>10Y</c:v>
                </c:pt>
                <c:pt idx="25">
                  <c:v>12Y</c:v>
                </c:pt>
                <c:pt idx="26">
                  <c:v>15Y</c:v>
                </c:pt>
                <c:pt idx="27">
                  <c:v>20Y</c:v>
                </c:pt>
                <c:pt idx="28">
                  <c:v>25Y</c:v>
                </c:pt>
                <c:pt idx="29">
                  <c:v>30Y</c:v>
                </c:pt>
              </c:strCache>
            </c:strRef>
          </c:cat>
          <c:val>
            <c:numRef>
              <c:f>'[1]Yield curve'!$B$3:$B$32</c:f>
              <c:numCache>
                <c:formatCode>General</c:formatCode>
                <c:ptCount val="30"/>
                <c:pt idx="1">
                  <c:v>0.25</c:v>
                </c:pt>
                <c:pt idx="2">
                  <c:v>0.27</c:v>
                </c:pt>
                <c:pt idx="3">
                  <c:v>0.28999999999999998</c:v>
                </c:pt>
                <c:pt idx="4">
                  <c:v>0.3</c:v>
                </c:pt>
                <c:pt idx="5">
                  <c:v>0.32</c:v>
                </c:pt>
                <c:pt idx="6">
                  <c:v>0.34</c:v>
                </c:pt>
                <c:pt idx="7">
                  <c:v>0.34666666666666668</c:v>
                </c:pt>
                <c:pt idx="8">
                  <c:v>0.35333333333333333</c:v>
                </c:pt>
                <c:pt idx="9">
                  <c:v>0.36</c:v>
                </c:pt>
                <c:pt idx="10">
                  <c:v>0.37666666666666665</c:v>
                </c:pt>
                <c:pt idx="11">
                  <c:v>0.39333333333333337</c:v>
                </c:pt>
                <c:pt idx="12">
                  <c:v>0.41000000000000003</c:v>
                </c:pt>
                <c:pt idx="13">
                  <c:v>0.42333333333333334</c:v>
                </c:pt>
                <c:pt idx="14">
                  <c:v>0.41666666666666669</c:v>
                </c:pt>
                <c:pt idx="15">
                  <c:v>0.43</c:v>
                </c:pt>
                <c:pt idx="16">
                  <c:v>0.48000000000000004</c:v>
                </c:pt>
                <c:pt idx="17">
                  <c:v>0.59000000000000008</c:v>
                </c:pt>
                <c:pt idx="18">
                  <c:v>0.69000000000000006</c:v>
                </c:pt>
                <c:pt idx="19">
                  <c:v>0.79</c:v>
                </c:pt>
                <c:pt idx="20">
                  <c:v>0.85000000000000009</c:v>
                </c:pt>
                <c:pt idx="21">
                  <c:v>0.89</c:v>
                </c:pt>
                <c:pt idx="22">
                  <c:v>0.93</c:v>
                </c:pt>
                <c:pt idx="23">
                  <c:v>0.96000000000000008</c:v>
                </c:pt>
                <c:pt idx="24">
                  <c:v>1</c:v>
                </c:pt>
                <c:pt idx="25">
                  <c:v>1.04</c:v>
                </c:pt>
                <c:pt idx="26">
                  <c:v>1.1400000000000001</c:v>
                </c:pt>
                <c:pt idx="27">
                  <c:v>1.1700000000000002</c:v>
                </c:pt>
                <c:pt idx="28">
                  <c:v>1.2000000000000002</c:v>
                </c:pt>
                <c:pt idx="29">
                  <c:v>1.2300000000000002</c:v>
                </c:pt>
              </c:numCache>
            </c:numRef>
          </c:val>
          <c:smooth val="0"/>
          <c:extLst>
            <c:ext xmlns:c16="http://schemas.microsoft.com/office/drawing/2014/chart" uri="{C3380CC4-5D6E-409C-BE32-E72D297353CC}">
              <c16:uniqueId val="{00000000-F357-4908-8281-2645D63C95B4}"/>
            </c:ext>
          </c:extLst>
        </c:ser>
        <c:ser>
          <c:idx val="1"/>
          <c:order val="1"/>
          <c:tx>
            <c:strRef>
              <c:f>'[1]Yield curve'!$C$1:$C$2</c:f>
              <c:strCache>
                <c:ptCount val="1"/>
                <c:pt idx="0">
                  <c:v>EUR</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'[1]Yield curve'!$A$3:$A$32</c:f>
              <c:strCache>
                <c:ptCount val="30"/>
                <c:pt idx="1">
                  <c:v>ON</c:v>
                </c:pt>
                <c:pt idx="2">
                  <c:v>1W</c:v>
                </c:pt>
                <c:pt idx="3">
                  <c:v>2W</c:v>
                </c:pt>
                <c:pt idx="4">
                  <c:v>1M</c:v>
                </c:pt>
                <c:pt idx="5">
                  <c:v>2M</c:v>
                </c:pt>
                <c:pt idx="6">
                  <c:v>3M</c:v>
                </c:pt>
                <c:pt idx="7">
                  <c:v>4M</c:v>
                </c:pt>
                <c:pt idx="8">
                  <c:v>5M</c:v>
                </c:pt>
                <c:pt idx="9">
                  <c:v>6M</c:v>
                </c:pt>
                <c:pt idx="10">
                  <c:v>7M</c:v>
                </c:pt>
                <c:pt idx="11">
                  <c:v>8M</c:v>
                </c:pt>
                <c:pt idx="12">
                  <c:v>9M</c:v>
                </c:pt>
                <c:pt idx="13">
                  <c:v>10M</c:v>
                </c:pt>
                <c:pt idx="14">
                  <c:v>11M</c:v>
                </c:pt>
                <c:pt idx="15">
                  <c:v>12M</c:v>
                </c:pt>
                <c:pt idx="16">
                  <c:v>2Y</c:v>
                </c:pt>
                <c:pt idx="17">
                  <c:v>3Y</c:v>
                </c:pt>
                <c:pt idx="18">
                  <c:v>4Y</c:v>
                </c:pt>
                <c:pt idx="19">
                  <c:v>5Y</c:v>
                </c:pt>
                <c:pt idx="20">
                  <c:v>6Y</c:v>
                </c:pt>
                <c:pt idx="21">
                  <c:v>7Y</c:v>
                </c:pt>
                <c:pt idx="22">
                  <c:v>8Y</c:v>
                </c:pt>
                <c:pt idx="23">
                  <c:v>9Y</c:v>
                </c:pt>
                <c:pt idx="24">
                  <c:v>10Y</c:v>
                </c:pt>
                <c:pt idx="25">
                  <c:v>12Y</c:v>
                </c:pt>
                <c:pt idx="26">
                  <c:v>15Y</c:v>
                </c:pt>
                <c:pt idx="27">
                  <c:v>20Y</c:v>
                </c:pt>
                <c:pt idx="28">
                  <c:v>25Y</c:v>
                </c:pt>
                <c:pt idx="29">
                  <c:v>30Y</c:v>
                </c:pt>
              </c:strCache>
            </c:strRef>
          </c:cat>
          <c:val>
            <c:numRef>
              <c:f>'[1]Yield curve'!$C$3:$C$32</c:f>
              <c:numCache>
                <c:formatCode>General</c:formatCode>
                <c:ptCount val="30"/>
                <c:pt idx="1">
                  <c:v>-0.46800000000000003</c:v>
                </c:pt>
                <c:pt idx="2">
                  <c:v>-0.47793103448275864</c:v>
                </c:pt>
                <c:pt idx="3">
                  <c:v>-0.48951724137931035</c:v>
                </c:pt>
                <c:pt idx="4">
                  <c:v>-0.51600000000000001</c:v>
                </c:pt>
                <c:pt idx="5">
                  <c:v>-0.5</c:v>
                </c:pt>
                <c:pt idx="6">
                  <c:v>-0.48399999999999999</c:v>
                </c:pt>
                <c:pt idx="7">
                  <c:v>-0.47433333333333333</c:v>
                </c:pt>
                <c:pt idx="8">
                  <c:v>-0.46466666666666667</c:v>
                </c:pt>
                <c:pt idx="9">
                  <c:v>-0.45500000000000002</c:v>
                </c:pt>
                <c:pt idx="10">
                  <c:v>-0.44500000000000001</c:v>
                </c:pt>
                <c:pt idx="11">
                  <c:v>-0.435</c:v>
                </c:pt>
                <c:pt idx="12">
                  <c:v>-0.42499999999999999</c:v>
                </c:pt>
                <c:pt idx="13">
                  <c:v>-0.41499999999999998</c:v>
                </c:pt>
                <c:pt idx="14">
                  <c:v>-0.40499999999999997</c:v>
                </c:pt>
                <c:pt idx="15">
                  <c:v>-0.39500000000000002</c:v>
                </c:pt>
                <c:pt idx="16">
                  <c:v>-0.46500000000000002</c:v>
                </c:pt>
                <c:pt idx="17">
                  <c:v>-0.46560000000000001</c:v>
                </c:pt>
                <c:pt idx="18">
                  <c:v>-0.44710000000000005</c:v>
                </c:pt>
                <c:pt idx="19">
                  <c:v>-0.42110000000000003</c:v>
                </c:pt>
                <c:pt idx="20">
                  <c:v>-0.38730000000000003</c:v>
                </c:pt>
                <c:pt idx="21">
                  <c:v>-0.34570000000000001</c:v>
                </c:pt>
                <c:pt idx="22">
                  <c:v>-0.30410000000000004</c:v>
                </c:pt>
                <c:pt idx="23">
                  <c:v>-0.25700000000000001</c:v>
                </c:pt>
                <c:pt idx="24">
                  <c:v>-0.2104</c:v>
                </c:pt>
                <c:pt idx="25">
                  <c:v>-0.13403999999999999</c:v>
                </c:pt>
                <c:pt idx="26">
                  <c:v>-1.95E-2</c:v>
                </c:pt>
                <c:pt idx="27">
                  <c:v>5.7500000000000002E-2</c:v>
                </c:pt>
                <c:pt idx="28">
                  <c:v>4.1500000000000002E-2</c:v>
                </c:pt>
                <c:pt idx="29">
                  <c:v>2.5500000000000002E-2</c:v>
                </c:pt>
              </c:numCache>
            </c:numRef>
          </c:val>
          <c:smooth val="0"/>
          <c:extLst>
            <c:ext xmlns:c16="http://schemas.microsoft.com/office/drawing/2014/chart" uri="{C3380CC4-5D6E-409C-BE32-E72D297353CC}">
              <c16:uniqueId val="{00000001-F357-4908-8281-2645D63C95B4}"/>
            </c:ext>
          </c:extLst>
        </c:ser>
        <c:ser>
          <c:idx val="2"/>
          <c:order val="2"/>
          <c:tx>
            <c:strRef>
              <c:f>'[1]Yield curve'!$D$1:$D$2</c:f>
              <c:strCache>
                <c:ptCount val="1"/>
                <c:pt idx="0">
                  <c:v>USD</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'[1]Yield curve'!$A$3:$A$32</c:f>
              <c:strCache>
                <c:ptCount val="30"/>
                <c:pt idx="1">
                  <c:v>ON</c:v>
                </c:pt>
                <c:pt idx="2">
                  <c:v>1W</c:v>
                </c:pt>
                <c:pt idx="3">
                  <c:v>2W</c:v>
                </c:pt>
                <c:pt idx="4">
                  <c:v>1M</c:v>
                </c:pt>
                <c:pt idx="5">
                  <c:v>2M</c:v>
                </c:pt>
                <c:pt idx="6">
                  <c:v>3M</c:v>
                </c:pt>
                <c:pt idx="7">
                  <c:v>4M</c:v>
                </c:pt>
                <c:pt idx="8">
                  <c:v>5M</c:v>
                </c:pt>
                <c:pt idx="9">
                  <c:v>6M</c:v>
                </c:pt>
                <c:pt idx="10">
                  <c:v>7M</c:v>
                </c:pt>
                <c:pt idx="11">
                  <c:v>8M</c:v>
                </c:pt>
                <c:pt idx="12">
                  <c:v>9M</c:v>
                </c:pt>
                <c:pt idx="13">
                  <c:v>10M</c:v>
                </c:pt>
                <c:pt idx="14">
                  <c:v>11M</c:v>
                </c:pt>
                <c:pt idx="15">
                  <c:v>12M</c:v>
                </c:pt>
                <c:pt idx="16">
                  <c:v>2Y</c:v>
                </c:pt>
                <c:pt idx="17">
                  <c:v>3Y</c:v>
                </c:pt>
                <c:pt idx="18">
                  <c:v>4Y</c:v>
                </c:pt>
                <c:pt idx="19">
                  <c:v>5Y</c:v>
                </c:pt>
                <c:pt idx="20">
                  <c:v>6Y</c:v>
                </c:pt>
                <c:pt idx="21">
                  <c:v>7Y</c:v>
                </c:pt>
                <c:pt idx="22">
                  <c:v>8Y</c:v>
                </c:pt>
                <c:pt idx="23">
                  <c:v>9Y</c:v>
                </c:pt>
                <c:pt idx="24">
                  <c:v>10Y</c:v>
                </c:pt>
                <c:pt idx="25">
                  <c:v>12Y</c:v>
                </c:pt>
                <c:pt idx="26">
                  <c:v>15Y</c:v>
                </c:pt>
                <c:pt idx="27">
                  <c:v>20Y</c:v>
                </c:pt>
                <c:pt idx="28">
                  <c:v>25Y</c:v>
                </c:pt>
                <c:pt idx="29">
                  <c:v>30Y</c:v>
                </c:pt>
              </c:strCache>
            </c:strRef>
          </c:cat>
          <c:val>
            <c:numRef>
              <c:f>'[1]Yield curve'!$D$3:$D$32</c:f>
              <c:numCache>
                <c:formatCode>General</c:formatCode>
                <c:ptCount val="30"/>
                <c:pt idx="1">
                  <c:v>8.3000000000000004E-2</c:v>
                </c:pt>
                <c:pt idx="2">
                  <c:v>9.73544827586207E-2</c:v>
                </c:pt>
                <c:pt idx="3">
                  <c:v>0.11410137931034484</c:v>
                </c:pt>
                <c:pt idx="4">
                  <c:v>0.15238000000000002</c:v>
                </c:pt>
                <c:pt idx="5">
                  <c:v>0.19788000000000003</c:v>
                </c:pt>
                <c:pt idx="6">
                  <c:v>0.25038000000000005</c:v>
                </c:pt>
                <c:pt idx="7">
                  <c:v>0.26088000000000006</c:v>
                </c:pt>
                <c:pt idx="8">
                  <c:v>0.27138000000000001</c:v>
                </c:pt>
                <c:pt idx="9">
                  <c:v>0.28188000000000002</c:v>
                </c:pt>
                <c:pt idx="10">
                  <c:v>0.30388000000000004</c:v>
                </c:pt>
                <c:pt idx="11">
                  <c:v>0.32588000000000006</c:v>
                </c:pt>
                <c:pt idx="12">
                  <c:v>0.34788000000000008</c:v>
                </c:pt>
                <c:pt idx="13">
                  <c:v>0.3698800000000001</c:v>
                </c:pt>
                <c:pt idx="14">
                  <c:v>0.39188000000000012</c:v>
                </c:pt>
                <c:pt idx="15">
                  <c:v>0.41388000000000003</c:v>
                </c:pt>
                <c:pt idx="16">
                  <c:v>0.21500000000000002</c:v>
                </c:pt>
                <c:pt idx="17">
                  <c:v>0.21850000000000003</c:v>
                </c:pt>
                <c:pt idx="18">
                  <c:v>0.254</c:v>
                </c:pt>
                <c:pt idx="19">
                  <c:v>0.31100000000000005</c:v>
                </c:pt>
                <c:pt idx="20">
                  <c:v>0.38455</c:v>
                </c:pt>
                <c:pt idx="21">
                  <c:v>0.46100000000000002</c:v>
                </c:pt>
                <c:pt idx="22">
                  <c:v>0.53200000000000003</c:v>
                </c:pt>
                <c:pt idx="23">
                  <c:v>0.60899999999999999</c:v>
                </c:pt>
                <c:pt idx="24">
                  <c:v>0.66100000000000003</c:v>
                </c:pt>
                <c:pt idx="25">
                  <c:v>0.74540000000000006</c:v>
                </c:pt>
                <c:pt idx="26">
                  <c:v>0.87200000000000011</c:v>
                </c:pt>
                <c:pt idx="27">
                  <c:v>0.9850000000000001</c:v>
                </c:pt>
                <c:pt idx="28">
                  <c:v>1.0089999999999999</c:v>
                </c:pt>
                <c:pt idx="29">
                  <c:v>1.0329999999999999</c:v>
                </c:pt>
              </c:numCache>
            </c:numRef>
          </c:val>
          <c:smooth val="0"/>
          <c:extLst>
            <c:ext xmlns:c16="http://schemas.microsoft.com/office/drawing/2014/chart" uri="{C3380CC4-5D6E-409C-BE32-E72D297353CC}">
              <c16:uniqueId val="{00000002-F357-4908-8281-2645D63C95B4}"/>
            </c:ext>
          </c:extLst>
        </c:ser>
        <c:dLbls>
          <c:showLegendKey val="0"/>
          <c:showVal val="0"/>
          <c:showCatName val="0"/>
          <c:showSerName val="0"/>
          <c:showPercent val="0"/>
          <c:showBubbleSize val="0"/>
        </c:dLbls>
        <c:marker val="1"/>
        <c:smooth val="0"/>
        <c:axId val="403663872"/>
        <c:axId val="403664856"/>
      </c:lineChart>
      <c:catAx>
        <c:axId val="40366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403664856"/>
        <c:crosses val="autoZero"/>
        <c:auto val="1"/>
        <c:lblAlgn val="ctr"/>
        <c:lblOffset val="100"/>
        <c:noMultiLvlLbl val="0"/>
      </c:catAx>
      <c:valAx>
        <c:axId val="403664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40366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a:t>Yield</a:t>
            </a:r>
            <a:r>
              <a:rPr lang="cs-CZ" baseline="0"/>
              <a:t> curve, CZK, EUR, USD</a:t>
            </a:r>
          </a:p>
          <a:p>
            <a:pPr>
              <a:defRPr/>
            </a:pPr>
            <a:r>
              <a:rPr lang="cs-CZ" baseline="0"/>
              <a:t>as of 9.2.2021 (IBOR + IRS rates)</a:t>
            </a:r>
            <a:endParaRPr lang="cs-CZ"/>
          </a:p>
        </c:rich>
      </c:tx>
      <c:layout>
        <c:manualLayout>
          <c:xMode val="edge"/>
          <c:yMode val="edge"/>
          <c:x val="0.27905533929045384"/>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lineChart>
        <c:grouping val="standard"/>
        <c:varyColors val="0"/>
        <c:ser>
          <c:idx val="0"/>
          <c:order val="0"/>
          <c:tx>
            <c:strRef>
              <c:f>'T01_Yield curve'!$R$2:$R$3</c:f>
              <c:strCache>
                <c:ptCount val="2"/>
                <c:pt idx="0">
                  <c:v>09.02.2021</c:v>
                </c:pt>
                <c:pt idx="1">
                  <c:v>CZK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'T01_Yield curve'!$Q$4:$Q$33</c:f>
              <c:strCache>
                <c:ptCount val="30"/>
                <c:pt idx="1">
                  <c:v>ON</c:v>
                </c:pt>
                <c:pt idx="2">
                  <c:v>1W</c:v>
                </c:pt>
                <c:pt idx="3">
                  <c:v>2W</c:v>
                </c:pt>
                <c:pt idx="4">
                  <c:v>1M</c:v>
                </c:pt>
                <c:pt idx="5">
                  <c:v>2M</c:v>
                </c:pt>
                <c:pt idx="6">
                  <c:v>3M</c:v>
                </c:pt>
                <c:pt idx="7">
                  <c:v>4M</c:v>
                </c:pt>
                <c:pt idx="8">
                  <c:v>5M</c:v>
                </c:pt>
                <c:pt idx="9">
                  <c:v>6M</c:v>
                </c:pt>
                <c:pt idx="10">
                  <c:v>7M</c:v>
                </c:pt>
                <c:pt idx="11">
                  <c:v>8M</c:v>
                </c:pt>
                <c:pt idx="12">
                  <c:v>9M</c:v>
                </c:pt>
                <c:pt idx="13">
                  <c:v>10M</c:v>
                </c:pt>
                <c:pt idx="14">
                  <c:v>11M</c:v>
                </c:pt>
                <c:pt idx="15">
                  <c:v>12M</c:v>
                </c:pt>
                <c:pt idx="16">
                  <c:v>2Y</c:v>
                </c:pt>
                <c:pt idx="17">
                  <c:v>3Y</c:v>
                </c:pt>
                <c:pt idx="18">
                  <c:v>4Y</c:v>
                </c:pt>
                <c:pt idx="19">
                  <c:v>5Y</c:v>
                </c:pt>
                <c:pt idx="20">
                  <c:v>6Y</c:v>
                </c:pt>
                <c:pt idx="21">
                  <c:v>7Y</c:v>
                </c:pt>
                <c:pt idx="22">
                  <c:v>8Y</c:v>
                </c:pt>
                <c:pt idx="23">
                  <c:v>9Y</c:v>
                </c:pt>
                <c:pt idx="24">
                  <c:v>10Y</c:v>
                </c:pt>
                <c:pt idx="25">
                  <c:v>12Y</c:v>
                </c:pt>
                <c:pt idx="26">
                  <c:v>15Y</c:v>
                </c:pt>
                <c:pt idx="27">
                  <c:v>20Y</c:v>
                </c:pt>
                <c:pt idx="28">
                  <c:v>25Y</c:v>
                </c:pt>
                <c:pt idx="29">
                  <c:v>30Y</c:v>
                </c:pt>
              </c:strCache>
            </c:strRef>
          </c:cat>
          <c:val>
            <c:numRef>
              <c:f>'T01_Yield curve'!$R$4:$R$33</c:f>
              <c:numCache>
                <c:formatCode>0.00</c:formatCode>
                <c:ptCount val="30"/>
                <c:pt idx="1">
                  <c:v>0.25</c:v>
                </c:pt>
                <c:pt idx="2">
                  <c:v>0.27</c:v>
                </c:pt>
                <c:pt idx="3">
                  <c:v>0.28999999999999998</c:v>
                </c:pt>
                <c:pt idx="4">
                  <c:v>0.31</c:v>
                </c:pt>
                <c:pt idx="5">
                  <c:v>0.33</c:v>
                </c:pt>
                <c:pt idx="6">
                  <c:v>0.36</c:v>
                </c:pt>
                <c:pt idx="7">
                  <c:v>0.38</c:v>
                </c:pt>
                <c:pt idx="8">
                  <c:v>0.39999999999999997</c:v>
                </c:pt>
                <c:pt idx="9">
                  <c:v>0.42</c:v>
                </c:pt>
                <c:pt idx="10">
                  <c:v>0.4433333333333333</c:v>
                </c:pt>
                <c:pt idx="11">
                  <c:v>0.46666666666666667</c:v>
                </c:pt>
                <c:pt idx="12">
                  <c:v>0.49</c:v>
                </c:pt>
                <c:pt idx="13">
                  <c:v>0.51666666666666672</c:v>
                </c:pt>
                <c:pt idx="14">
                  <c:v>0.5033333333333333</c:v>
                </c:pt>
                <c:pt idx="15">
                  <c:v>0.53</c:v>
                </c:pt>
                <c:pt idx="16">
                  <c:v>0.89</c:v>
                </c:pt>
                <c:pt idx="17">
                  <c:v>1.08</c:v>
                </c:pt>
                <c:pt idx="18">
                  <c:v>1.19</c:v>
                </c:pt>
                <c:pt idx="19">
                  <c:v>1.28</c:v>
                </c:pt>
                <c:pt idx="20">
                  <c:v>1.33</c:v>
                </c:pt>
                <c:pt idx="21">
                  <c:v>1.36</c:v>
                </c:pt>
                <c:pt idx="22">
                  <c:v>1.3900000000000001</c:v>
                </c:pt>
                <c:pt idx="23">
                  <c:v>1.4100000000000001</c:v>
                </c:pt>
                <c:pt idx="24">
                  <c:v>1.46</c:v>
                </c:pt>
                <c:pt idx="25">
                  <c:v>1.5</c:v>
                </c:pt>
                <c:pt idx="26">
                  <c:v>1.6300000000000001</c:v>
                </c:pt>
                <c:pt idx="27">
                  <c:v>1.6800000000000002</c:v>
                </c:pt>
                <c:pt idx="28">
                  <c:v>1.7300000000000002</c:v>
                </c:pt>
                <c:pt idx="29">
                  <c:v>1.7800000000000002</c:v>
                </c:pt>
              </c:numCache>
            </c:numRef>
          </c:val>
          <c:smooth val="0"/>
          <c:extLst>
            <c:ext xmlns:c16="http://schemas.microsoft.com/office/drawing/2014/chart" uri="{C3380CC4-5D6E-409C-BE32-E72D297353CC}">
              <c16:uniqueId val="{00000000-F1D3-410A-B080-8764A80FFCB2}"/>
            </c:ext>
          </c:extLst>
        </c:ser>
        <c:ser>
          <c:idx val="1"/>
          <c:order val="1"/>
          <c:tx>
            <c:strRef>
              <c:f>'T01_Yield curve'!$S$2:$S$3</c:f>
              <c:strCache>
                <c:ptCount val="2"/>
                <c:pt idx="0">
                  <c:v>09.02.2021</c:v>
                </c:pt>
                <c:pt idx="1">
                  <c:v>EUR</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'T01_Yield curve'!$Q$4:$Q$33</c:f>
              <c:strCache>
                <c:ptCount val="30"/>
                <c:pt idx="1">
                  <c:v>ON</c:v>
                </c:pt>
                <c:pt idx="2">
                  <c:v>1W</c:v>
                </c:pt>
                <c:pt idx="3">
                  <c:v>2W</c:v>
                </c:pt>
                <c:pt idx="4">
                  <c:v>1M</c:v>
                </c:pt>
                <c:pt idx="5">
                  <c:v>2M</c:v>
                </c:pt>
                <c:pt idx="6">
                  <c:v>3M</c:v>
                </c:pt>
                <c:pt idx="7">
                  <c:v>4M</c:v>
                </c:pt>
                <c:pt idx="8">
                  <c:v>5M</c:v>
                </c:pt>
                <c:pt idx="9">
                  <c:v>6M</c:v>
                </c:pt>
                <c:pt idx="10">
                  <c:v>7M</c:v>
                </c:pt>
                <c:pt idx="11">
                  <c:v>8M</c:v>
                </c:pt>
                <c:pt idx="12">
                  <c:v>9M</c:v>
                </c:pt>
                <c:pt idx="13">
                  <c:v>10M</c:v>
                </c:pt>
                <c:pt idx="14">
                  <c:v>11M</c:v>
                </c:pt>
                <c:pt idx="15">
                  <c:v>12M</c:v>
                </c:pt>
                <c:pt idx="16">
                  <c:v>2Y</c:v>
                </c:pt>
                <c:pt idx="17">
                  <c:v>3Y</c:v>
                </c:pt>
                <c:pt idx="18">
                  <c:v>4Y</c:v>
                </c:pt>
                <c:pt idx="19">
                  <c:v>5Y</c:v>
                </c:pt>
                <c:pt idx="20">
                  <c:v>6Y</c:v>
                </c:pt>
                <c:pt idx="21">
                  <c:v>7Y</c:v>
                </c:pt>
                <c:pt idx="22">
                  <c:v>8Y</c:v>
                </c:pt>
                <c:pt idx="23">
                  <c:v>9Y</c:v>
                </c:pt>
                <c:pt idx="24">
                  <c:v>10Y</c:v>
                </c:pt>
                <c:pt idx="25">
                  <c:v>12Y</c:v>
                </c:pt>
                <c:pt idx="26">
                  <c:v>15Y</c:v>
                </c:pt>
                <c:pt idx="27">
                  <c:v>20Y</c:v>
                </c:pt>
                <c:pt idx="28">
                  <c:v>25Y</c:v>
                </c:pt>
                <c:pt idx="29">
                  <c:v>30Y</c:v>
                </c:pt>
              </c:strCache>
            </c:strRef>
          </c:cat>
          <c:val>
            <c:numRef>
              <c:f>'T01_Yield curve'!$S$4:$S$33</c:f>
              <c:numCache>
                <c:formatCode>0.00</c:formatCode>
                <c:ptCount val="30"/>
                <c:pt idx="1">
                  <c:v>-0.47800000000000004</c:v>
                </c:pt>
                <c:pt idx="2">
                  <c:v>-0.49310344827586211</c:v>
                </c:pt>
                <c:pt idx="3">
                  <c:v>-0.51072413793103455</c:v>
                </c:pt>
                <c:pt idx="4">
                  <c:v>-0.55100000000000005</c:v>
                </c:pt>
                <c:pt idx="5">
                  <c:v>-0.5455000000000001</c:v>
                </c:pt>
                <c:pt idx="6">
                  <c:v>-0.54</c:v>
                </c:pt>
                <c:pt idx="7">
                  <c:v>-0.53433333333333333</c:v>
                </c:pt>
                <c:pt idx="8">
                  <c:v>-0.52866666666666673</c:v>
                </c:pt>
                <c:pt idx="9">
                  <c:v>-0.52300000000000002</c:v>
                </c:pt>
                <c:pt idx="10">
                  <c:v>-0.51966666666666672</c:v>
                </c:pt>
                <c:pt idx="11">
                  <c:v>-0.51633333333333342</c:v>
                </c:pt>
                <c:pt idx="12">
                  <c:v>-0.51300000000000012</c:v>
                </c:pt>
                <c:pt idx="13">
                  <c:v>-0.50966666666666682</c:v>
                </c:pt>
                <c:pt idx="14">
                  <c:v>-0.50633333333333352</c:v>
                </c:pt>
                <c:pt idx="15">
                  <c:v>-0.503</c:v>
                </c:pt>
                <c:pt idx="16">
                  <c:v>-0.51700000000000002</c:v>
                </c:pt>
                <c:pt idx="17">
                  <c:v>-0.48950000000000005</c:v>
                </c:pt>
                <c:pt idx="18">
                  <c:v>-0.45100000000000001</c:v>
                </c:pt>
                <c:pt idx="19">
                  <c:v>-0.40600000000000003</c:v>
                </c:pt>
                <c:pt idx="20">
                  <c:v>-0.35210000000000002</c:v>
                </c:pt>
                <c:pt idx="21">
                  <c:v>-0.29600000000000004</c:v>
                </c:pt>
                <c:pt idx="22">
                  <c:v>-0.23800000000000002</c:v>
                </c:pt>
                <c:pt idx="23">
                  <c:v>-0.18110000000000001</c:v>
                </c:pt>
                <c:pt idx="24">
                  <c:v>-0.1241</c:v>
                </c:pt>
                <c:pt idx="25">
                  <c:v>-3.3299999999999996E-2</c:v>
                </c:pt>
                <c:pt idx="26">
                  <c:v>0.10290000000000001</c:v>
                </c:pt>
                <c:pt idx="27">
                  <c:v>0.21000000000000002</c:v>
                </c:pt>
                <c:pt idx="28">
                  <c:v>0.21700000000000003</c:v>
                </c:pt>
                <c:pt idx="29">
                  <c:v>0.22400000000000003</c:v>
                </c:pt>
              </c:numCache>
            </c:numRef>
          </c:val>
          <c:smooth val="0"/>
          <c:extLst>
            <c:ext xmlns:c16="http://schemas.microsoft.com/office/drawing/2014/chart" uri="{C3380CC4-5D6E-409C-BE32-E72D297353CC}">
              <c16:uniqueId val="{00000001-F1D3-410A-B080-8764A80FFCB2}"/>
            </c:ext>
          </c:extLst>
        </c:ser>
        <c:ser>
          <c:idx val="2"/>
          <c:order val="2"/>
          <c:tx>
            <c:strRef>
              <c:f>'T01_Yield curve'!$T$2:$T$3</c:f>
              <c:strCache>
                <c:ptCount val="2"/>
                <c:pt idx="0">
                  <c:v>09.02.2021</c:v>
                </c:pt>
                <c:pt idx="1">
                  <c:v>USD</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'T01_Yield curve'!$Q$4:$Q$33</c:f>
              <c:strCache>
                <c:ptCount val="30"/>
                <c:pt idx="1">
                  <c:v>ON</c:v>
                </c:pt>
                <c:pt idx="2">
                  <c:v>1W</c:v>
                </c:pt>
                <c:pt idx="3">
                  <c:v>2W</c:v>
                </c:pt>
                <c:pt idx="4">
                  <c:v>1M</c:v>
                </c:pt>
                <c:pt idx="5">
                  <c:v>2M</c:v>
                </c:pt>
                <c:pt idx="6">
                  <c:v>3M</c:v>
                </c:pt>
                <c:pt idx="7">
                  <c:v>4M</c:v>
                </c:pt>
                <c:pt idx="8">
                  <c:v>5M</c:v>
                </c:pt>
                <c:pt idx="9">
                  <c:v>6M</c:v>
                </c:pt>
                <c:pt idx="10">
                  <c:v>7M</c:v>
                </c:pt>
                <c:pt idx="11">
                  <c:v>8M</c:v>
                </c:pt>
                <c:pt idx="12">
                  <c:v>9M</c:v>
                </c:pt>
                <c:pt idx="13">
                  <c:v>10M</c:v>
                </c:pt>
                <c:pt idx="14">
                  <c:v>11M</c:v>
                </c:pt>
                <c:pt idx="15">
                  <c:v>12M</c:v>
                </c:pt>
                <c:pt idx="16">
                  <c:v>2Y</c:v>
                </c:pt>
                <c:pt idx="17">
                  <c:v>3Y</c:v>
                </c:pt>
                <c:pt idx="18">
                  <c:v>4Y</c:v>
                </c:pt>
                <c:pt idx="19">
                  <c:v>5Y</c:v>
                </c:pt>
                <c:pt idx="20">
                  <c:v>6Y</c:v>
                </c:pt>
                <c:pt idx="21">
                  <c:v>7Y</c:v>
                </c:pt>
                <c:pt idx="22">
                  <c:v>8Y</c:v>
                </c:pt>
                <c:pt idx="23">
                  <c:v>9Y</c:v>
                </c:pt>
                <c:pt idx="24">
                  <c:v>10Y</c:v>
                </c:pt>
                <c:pt idx="25">
                  <c:v>12Y</c:v>
                </c:pt>
                <c:pt idx="26">
                  <c:v>15Y</c:v>
                </c:pt>
                <c:pt idx="27">
                  <c:v>20Y</c:v>
                </c:pt>
                <c:pt idx="28">
                  <c:v>25Y</c:v>
                </c:pt>
                <c:pt idx="29">
                  <c:v>30Y</c:v>
                </c:pt>
              </c:strCache>
            </c:strRef>
          </c:cat>
          <c:val>
            <c:numRef>
              <c:f>'T01_Yield curve'!$T$4:$T$33</c:f>
              <c:numCache>
                <c:formatCode>0.00</c:formatCode>
                <c:ptCount val="30"/>
                <c:pt idx="1">
                  <c:v>7.9880000000000007E-2</c:v>
                </c:pt>
                <c:pt idx="2">
                  <c:v>8.7328275862068969E-2</c:v>
                </c:pt>
                <c:pt idx="3">
                  <c:v>9.6017931034482765E-2</c:v>
                </c:pt>
                <c:pt idx="4">
                  <c:v>0.11588000000000001</c:v>
                </c:pt>
                <c:pt idx="5">
                  <c:v>0.1565</c:v>
                </c:pt>
                <c:pt idx="6">
                  <c:v>0.20250000000000001</c:v>
                </c:pt>
                <c:pt idx="7">
                  <c:v>0.20433333333333334</c:v>
                </c:pt>
                <c:pt idx="8">
                  <c:v>0.20616666666666669</c:v>
                </c:pt>
                <c:pt idx="9">
                  <c:v>0.20800000000000002</c:v>
                </c:pt>
                <c:pt idx="10">
                  <c:v>0.22427166666666667</c:v>
                </c:pt>
                <c:pt idx="11">
                  <c:v>0.24054333333333333</c:v>
                </c:pt>
                <c:pt idx="12">
                  <c:v>0.25681500000000002</c:v>
                </c:pt>
                <c:pt idx="13">
                  <c:v>0.2730866666666667</c:v>
                </c:pt>
                <c:pt idx="14">
                  <c:v>0.28935833333333338</c:v>
                </c:pt>
                <c:pt idx="15">
                  <c:v>0.30563000000000001</c:v>
                </c:pt>
                <c:pt idx="16">
                  <c:v>0.20390000000000003</c:v>
                </c:pt>
                <c:pt idx="17">
                  <c:v>0.28049999999999997</c:v>
                </c:pt>
                <c:pt idx="18">
                  <c:v>0.42000000000000004</c:v>
                </c:pt>
                <c:pt idx="19">
                  <c:v>0.57499999999999996</c:v>
                </c:pt>
                <c:pt idx="20">
                  <c:v>0.73150000000000004</c:v>
                </c:pt>
                <c:pt idx="21">
                  <c:v>0.87350000000000005</c:v>
                </c:pt>
                <c:pt idx="22">
                  <c:v>0.99950000000000006</c:v>
                </c:pt>
                <c:pt idx="23">
                  <c:v>1.1085</c:v>
                </c:pt>
                <c:pt idx="24">
                  <c:v>1.2040000000000002</c:v>
                </c:pt>
                <c:pt idx="25">
                  <c:v>1.32</c:v>
                </c:pt>
                <c:pt idx="26">
                  <c:v>1.494</c:v>
                </c:pt>
                <c:pt idx="27">
                  <c:v>1.621</c:v>
                </c:pt>
                <c:pt idx="28">
                  <c:v>1.6615000000000002</c:v>
                </c:pt>
                <c:pt idx="29">
                  <c:v>1.7020000000000002</c:v>
                </c:pt>
              </c:numCache>
            </c:numRef>
          </c:val>
          <c:smooth val="0"/>
          <c:extLst>
            <c:ext xmlns:c16="http://schemas.microsoft.com/office/drawing/2014/chart" uri="{C3380CC4-5D6E-409C-BE32-E72D297353CC}">
              <c16:uniqueId val="{00000002-F1D3-410A-B080-8764A80FFCB2}"/>
            </c:ext>
          </c:extLst>
        </c:ser>
        <c:dLbls>
          <c:showLegendKey val="0"/>
          <c:showVal val="0"/>
          <c:showCatName val="0"/>
          <c:showSerName val="0"/>
          <c:showPercent val="0"/>
          <c:showBubbleSize val="0"/>
        </c:dLbls>
        <c:marker val="1"/>
        <c:smooth val="0"/>
        <c:axId val="610334096"/>
        <c:axId val="610338688"/>
      </c:lineChart>
      <c:catAx>
        <c:axId val="61033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610338688"/>
        <c:crosses val="autoZero"/>
        <c:auto val="1"/>
        <c:lblAlgn val="ctr"/>
        <c:lblOffset val="100"/>
        <c:noMultiLvlLbl val="0"/>
      </c:catAx>
      <c:valAx>
        <c:axId val="610338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610334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180975</xdr:colOff>
      <xdr:row>2</xdr:row>
      <xdr:rowOff>128587</xdr:rowOff>
    </xdr:from>
    <xdr:to>
      <xdr:col>15</xdr:col>
      <xdr:colOff>66675</xdr:colOff>
      <xdr:row>19</xdr:row>
      <xdr:rowOff>142875</xdr:rowOff>
    </xdr:to>
    <xdr:graphicFrame macro="">
      <xdr:nvGraphicFramePr>
        <xdr:cNvPr id="2" name="Graf 1">
          <a:extLst>
            <a:ext uri="{FF2B5EF4-FFF2-40B4-BE49-F238E27FC236}">
              <a16:creationId xmlns:a16="http://schemas.microsoft.com/office/drawing/2014/main" id="{36487D26-2225-4B01-B3BE-62DD2C896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167640</xdr:colOff>
      <xdr:row>20</xdr:row>
      <xdr:rowOff>129540</xdr:rowOff>
    </xdr:from>
    <xdr:to>
      <xdr:col>15</xdr:col>
      <xdr:colOff>106680</xdr:colOff>
      <xdr:row>37</xdr:row>
      <xdr:rowOff>91440</xdr:rowOff>
    </xdr:to>
    <xdr:graphicFrame macro="">
      <xdr:nvGraphicFramePr>
        <xdr:cNvPr id="3" name="Graf 2">
          <a:extLst>
            <a:ext uri="{FF2B5EF4-FFF2-40B4-BE49-F238E27FC236}">
              <a16:creationId xmlns:a16="http://schemas.microsoft.com/office/drawing/2014/main" id="{B36F1C50-66C7-4EA7-BC2A-03BB629CDC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ahoslav%20Rejent/Desktop/Magda/Introductory%20Banking%202021/L01_T01_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I BS"/>
      <sheetName val="Yield curve"/>
    </sheetNames>
    <sheetDataSet>
      <sheetData sheetId="0" refreshError="1"/>
      <sheetData sheetId="1">
        <row r="2">
          <cell r="B2" t="str">
            <v>CZK</v>
          </cell>
          <cell r="C2" t="str">
            <v>EUR</v>
          </cell>
          <cell r="D2" t="str">
            <v>USD</v>
          </cell>
        </row>
        <row r="4">
          <cell r="A4" t="str">
            <v>ON</v>
          </cell>
          <cell r="B4">
            <v>0.25</v>
          </cell>
          <cell r="C4">
            <v>-0.46800000000000003</v>
          </cell>
          <cell r="D4">
            <v>8.3000000000000004E-2</v>
          </cell>
        </row>
        <row r="5">
          <cell r="A5" t="str">
            <v>1W</v>
          </cell>
          <cell r="B5">
            <v>0.27</v>
          </cell>
          <cell r="C5">
            <v>-0.47793103448275864</v>
          </cell>
          <cell r="D5">
            <v>9.73544827586207E-2</v>
          </cell>
        </row>
        <row r="6">
          <cell r="A6" t="str">
            <v>2W</v>
          </cell>
          <cell r="B6">
            <v>0.28999999999999998</v>
          </cell>
          <cell r="C6">
            <v>-0.48951724137931035</v>
          </cell>
          <cell r="D6">
            <v>0.11410137931034484</v>
          </cell>
        </row>
        <row r="7">
          <cell r="A7" t="str">
            <v>1M</v>
          </cell>
          <cell r="B7">
            <v>0.3</v>
          </cell>
          <cell r="C7">
            <v>-0.51600000000000001</v>
          </cell>
          <cell r="D7">
            <v>0.15238000000000002</v>
          </cell>
        </row>
        <row r="8">
          <cell r="A8" t="str">
            <v>2M</v>
          </cell>
          <cell r="B8">
            <v>0.32</v>
          </cell>
          <cell r="C8">
            <v>-0.5</v>
          </cell>
          <cell r="D8">
            <v>0.19788000000000003</v>
          </cell>
        </row>
        <row r="9">
          <cell r="A9" t="str">
            <v>3M</v>
          </cell>
          <cell r="B9">
            <v>0.34</v>
          </cell>
          <cell r="C9">
            <v>-0.48399999999999999</v>
          </cell>
          <cell r="D9">
            <v>0.25038000000000005</v>
          </cell>
        </row>
        <row r="10">
          <cell r="A10" t="str">
            <v>4M</v>
          </cell>
          <cell r="B10">
            <v>0.34666666666666668</v>
          </cell>
          <cell r="C10">
            <v>-0.47433333333333333</v>
          </cell>
          <cell r="D10">
            <v>0.26088000000000006</v>
          </cell>
        </row>
        <row r="11">
          <cell r="A11" t="str">
            <v>5M</v>
          </cell>
          <cell r="B11">
            <v>0.35333333333333333</v>
          </cell>
          <cell r="C11">
            <v>-0.46466666666666667</v>
          </cell>
          <cell r="D11">
            <v>0.27138000000000001</v>
          </cell>
        </row>
        <row r="12">
          <cell r="A12" t="str">
            <v>6M</v>
          </cell>
          <cell r="B12">
            <v>0.36</v>
          </cell>
          <cell r="C12">
            <v>-0.45500000000000002</v>
          </cell>
          <cell r="D12">
            <v>0.28188000000000002</v>
          </cell>
        </row>
        <row r="13">
          <cell r="A13" t="str">
            <v>7M</v>
          </cell>
          <cell r="B13">
            <v>0.37666666666666665</v>
          </cell>
          <cell r="C13">
            <v>-0.44500000000000001</v>
          </cell>
          <cell r="D13">
            <v>0.30388000000000004</v>
          </cell>
        </row>
        <row r="14">
          <cell r="A14" t="str">
            <v>8M</v>
          </cell>
          <cell r="B14">
            <v>0.39333333333333337</v>
          </cell>
          <cell r="C14">
            <v>-0.435</v>
          </cell>
          <cell r="D14">
            <v>0.32588000000000006</v>
          </cell>
        </row>
        <row r="15">
          <cell r="A15" t="str">
            <v>9M</v>
          </cell>
          <cell r="B15">
            <v>0.41000000000000003</v>
          </cell>
          <cell r="C15">
            <v>-0.42499999999999999</v>
          </cell>
          <cell r="D15">
            <v>0.34788000000000008</v>
          </cell>
        </row>
        <row r="16">
          <cell r="A16" t="str">
            <v>10M</v>
          </cell>
          <cell r="B16">
            <v>0.42333333333333334</v>
          </cell>
          <cell r="C16">
            <v>-0.41499999999999998</v>
          </cell>
          <cell r="D16">
            <v>0.3698800000000001</v>
          </cell>
        </row>
        <row r="17">
          <cell r="A17" t="str">
            <v>11M</v>
          </cell>
          <cell r="B17">
            <v>0.41666666666666669</v>
          </cell>
          <cell r="C17">
            <v>-0.40499999999999997</v>
          </cell>
          <cell r="D17">
            <v>0.39188000000000012</v>
          </cell>
        </row>
        <row r="18">
          <cell r="A18" t="str">
            <v>12M</v>
          </cell>
          <cell r="B18">
            <v>0.43</v>
          </cell>
          <cell r="C18">
            <v>-0.39500000000000002</v>
          </cell>
          <cell r="D18">
            <v>0.41388000000000003</v>
          </cell>
        </row>
        <row r="19">
          <cell r="A19" t="str">
            <v>2Y</v>
          </cell>
          <cell r="B19">
            <v>0.48000000000000004</v>
          </cell>
          <cell r="C19">
            <v>-0.46500000000000002</v>
          </cell>
          <cell r="D19">
            <v>0.21500000000000002</v>
          </cell>
        </row>
        <row r="20">
          <cell r="A20" t="str">
            <v>3Y</v>
          </cell>
          <cell r="B20">
            <v>0.59000000000000008</v>
          </cell>
          <cell r="C20">
            <v>-0.46560000000000001</v>
          </cell>
          <cell r="D20">
            <v>0.21850000000000003</v>
          </cell>
        </row>
        <row r="21">
          <cell r="A21" t="str">
            <v>4Y</v>
          </cell>
          <cell r="B21">
            <v>0.69000000000000006</v>
          </cell>
          <cell r="C21">
            <v>-0.44710000000000005</v>
          </cell>
          <cell r="D21">
            <v>0.254</v>
          </cell>
        </row>
        <row r="22">
          <cell r="A22" t="str">
            <v>5Y</v>
          </cell>
          <cell r="B22">
            <v>0.79</v>
          </cell>
          <cell r="C22">
            <v>-0.42110000000000003</v>
          </cell>
          <cell r="D22">
            <v>0.31100000000000005</v>
          </cell>
        </row>
        <row r="23">
          <cell r="A23" t="str">
            <v>6Y</v>
          </cell>
          <cell r="B23">
            <v>0.85000000000000009</v>
          </cell>
          <cell r="C23">
            <v>-0.38730000000000003</v>
          </cell>
          <cell r="D23">
            <v>0.38455</v>
          </cell>
        </row>
        <row r="24">
          <cell r="A24" t="str">
            <v>7Y</v>
          </cell>
          <cell r="B24">
            <v>0.89</v>
          </cell>
          <cell r="C24">
            <v>-0.34570000000000001</v>
          </cell>
          <cell r="D24">
            <v>0.46100000000000002</v>
          </cell>
        </row>
        <row r="25">
          <cell r="A25" t="str">
            <v>8Y</v>
          </cell>
          <cell r="B25">
            <v>0.93</v>
          </cell>
          <cell r="C25">
            <v>-0.30410000000000004</v>
          </cell>
          <cell r="D25">
            <v>0.53200000000000003</v>
          </cell>
        </row>
        <row r="26">
          <cell r="A26" t="str">
            <v>9Y</v>
          </cell>
          <cell r="B26">
            <v>0.96000000000000008</v>
          </cell>
          <cell r="C26">
            <v>-0.25700000000000001</v>
          </cell>
          <cell r="D26">
            <v>0.60899999999999999</v>
          </cell>
        </row>
        <row r="27">
          <cell r="A27" t="str">
            <v>10Y</v>
          </cell>
          <cell r="B27">
            <v>1</v>
          </cell>
          <cell r="C27">
            <v>-0.2104</v>
          </cell>
          <cell r="D27">
            <v>0.66100000000000003</v>
          </cell>
        </row>
        <row r="28">
          <cell r="A28" t="str">
            <v>12Y</v>
          </cell>
          <cell r="B28">
            <v>1.04</v>
          </cell>
          <cell r="C28">
            <v>-0.13403999999999999</v>
          </cell>
          <cell r="D28">
            <v>0.74540000000000006</v>
          </cell>
        </row>
        <row r="29">
          <cell r="A29" t="str">
            <v>15Y</v>
          </cell>
          <cell r="B29">
            <v>1.1400000000000001</v>
          </cell>
          <cell r="C29">
            <v>-1.95E-2</v>
          </cell>
          <cell r="D29">
            <v>0.87200000000000011</v>
          </cell>
        </row>
        <row r="30">
          <cell r="A30" t="str">
            <v>20Y</v>
          </cell>
          <cell r="B30">
            <v>1.1700000000000002</v>
          </cell>
          <cell r="C30">
            <v>5.7500000000000002E-2</v>
          </cell>
          <cell r="D30">
            <v>0.9850000000000001</v>
          </cell>
        </row>
        <row r="31">
          <cell r="A31" t="str">
            <v>25Y</v>
          </cell>
          <cell r="B31">
            <v>1.2000000000000002</v>
          </cell>
          <cell r="C31">
            <v>4.1500000000000002E-2</v>
          </cell>
          <cell r="D31">
            <v>1.0089999999999999</v>
          </cell>
        </row>
        <row r="32">
          <cell r="A32" t="str">
            <v>30Y</v>
          </cell>
          <cell r="B32">
            <v>1.2300000000000002</v>
          </cell>
          <cell r="C32">
            <v>2.5500000000000002E-2</v>
          </cell>
          <cell r="D32">
            <v>1.0329999999999999</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00BE9-5B46-4D64-AFAA-BD4D44F9B0AB}">
  <dimension ref="A1:D14"/>
  <sheetViews>
    <sheetView workbookViewId="0">
      <selection activeCell="G6" sqref="G6"/>
    </sheetView>
  </sheetViews>
  <sheetFormatPr defaultRowHeight="14.4"/>
  <cols>
    <col min="1" max="1" width="22" customWidth="1"/>
    <col min="2" max="2" width="18.44140625" customWidth="1"/>
    <col min="3" max="3" width="23.88671875" customWidth="1"/>
    <col min="4" max="4" width="14.5546875" customWidth="1"/>
  </cols>
  <sheetData>
    <row r="1" spans="1:4">
      <c r="A1" s="37" t="s">
        <v>98</v>
      </c>
    </row>
    <row r="2" spans="1:4">
      <c r="A2" s="37" t="s">
        <v>92</v>
      </c>
    </row>
    <row r="4" spans="1:4">
      <c r="A4" s="30" t="s">
        <v>57</v>
      </c>
      <c r="B4" s="29"/>
      <c r="C4" s="29"/>
      <c r="D4" s="29"/>
    </row>
    <row r="5" spans="1:4" ht="15.6">
      <c r="A5" s="172" t="s">
        <v>55</v>
      </c>
      <c r="B5" s="173"/>
      <c r="C5" s="39" t="s">
        <v>93</v>
      </c>
      <c r="D5" s="40"/>
    </row>
    <row r="6" spans="1:4">
      <c r="A6" s="28" t="s">
        <v>99</v>
      </c>
      <c r="B6" s="29">
        <v>112</v>
      </c>
      <c r="C6" s="18" t="s">
        <v>97</v>
      </c>
      <c r="D6" s="18">
        <v>36</v>
      </c>
    </row>
    <row r="7" spans="1:4">
      <c r="A7" s="18" t="s">
        <v>95</v>
      </c>
      <c r="B7" s="18">
        <v>25</v>
      </c>
      <c r="C7" s="29" t="s">
        <v>94</v>
      </c>
      <c r="D7" s="29">
        <v>75</v>
      </c>
    </row>
    <row r="8" spans="1:4">
      <c r="A8" s="18" t="s">
        <v>96</v>
      </c>
      <c r="B8" s="18">
        <v>17</v>
      </c>
      <c r="C8" s="18" t="s">
        <v>56</v>
      </c>
      <c r="D8" s="18">
        <v>8</v>
      </c>
    </row>
    <row r="9" spans="1:4">
      <c r="A9" s="18"/>
      <c r="B9" s="18"/>
      <c r="C9" s="29" t="s">
        <v>101</v>
      </c>
      <c r="D9" s="29">
        <v>30</v>
      </c>
    </row>
    <row r="11" spans="1:4">
      <c r="A11" s="30" t="s">
        <v>100</v>
      </c>
      <c r="B11" s="38">
        <f>SUM(B6:B9)</f>
        <v>154</v>
      </c>
      <c r="C11" s="17"/>
      <c r="D11" s="17">
        <f>SUM(D6:D9)</f>
        <v>149</v>
      </c>
    </row>
    <row r="14" spans="1:4">
      <c r="A14" s="18" t="s">
        <v>102</v>
      </c>
      <c r="B14" s="18">
        <v>25</v>
      </c>
    </row>
  </sheetData>
  <mergeCells count="1">
    <mergeCell ref="A5:B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E245-AC7B-41E4-ABC8-0A596733A68C}">
  <dimension ref="A1:AI33"/>
  <sheetViews>
    <sheetView topLeftCell="M1" workbookViewId="0">
      <selection activeCell="AH24" sqref="AH24"/>
    </sheetView>
  </sheetViews>
  <sheetFormatPr defaultRowHeight="14.4"/>
  <cols>
    <col min="2" max="2" width="10.109375" bestFit="1" customWidth="1"/>
    <col min="18" max="18" width="10.21875" customWidth="1"/>
    <col min="31" max="31" width="8.88671875" style="41"/>
  </cols>
  <sheetData>
    <row r="1" spans="1:20">
      <c r="A1" t="s">
        <v>58</v>
      </c>
      <c r="B1" s="36"/>
    </row>
    <row r="2" spans="1:20">
      <c r="A2" t="s">
        <v>59</v>
      </c>
      <c r="B2" t="s">
        <v>60</v>
      </c>
      <c r="C2" t="s">
        <v>61</v>
      </c>
      <c r="D2" t="s">
        <v>62</v>
      </c>
      <c r="Q2" s="41" t="s">
        <v>58</v>
      </c>
      <c r="R2" s="43">
        <v>44236</v>
      </c>
      <c r="S2" s="41"/>
      <c r="T2" s="41"/>
    </row>
    <row r="3" spans="1:20">
      <c r="Q3" s="41" t="s">
        <v>59</v>
      </c>
      <c r="R3" s="41" t="s">
        <v>60</v>
      </c>
      <c r="S3" s="41" t="s">
        <v>61</v>
      </c>
      <c r="T3" s="41" t="s">
        <v>62</v>
      </c>
    </row>
    <row r="4" spans="1:20">
      <c r="A4" t="s">
        <v>63</v>
      </c>
      <c r="B4" s="22">
        <v>0.25</v>
      </c>
      <c r="C4" s="22">
        <v>-0.46800000000000003</v>
      </c>
      <c r="D4" s="22">
        <v>8.3000000000000004E-2</v>
      </c>
    </row>
    <row r="5" spans="1:20">
      <c r="A5" t="s">
        <v>64</v>
      </c>
      <c r="B5" s="22">
        <v>0.27</v>
      </c>
      <c r="C5" s="22">
        <v>-0.47793103448275864</v>
      </c>
      <c r="D5" s="22">
        <v>9.73544827586207E-2</v>
      </c>
      <c r="Q5" s="41" t="s">
        <v>63</v>
      </c>
      <c r="R5" s="42">
        <v>0.25</v>
      </c>
      <c r="S5" s="42">
        <v>-0.47800000000000004</v>
      </c>
      <c r="T5" s="42">
        <v>7.9880000000000007E-2</v>
      </c>
    </row>
    <row r="6" spans="1:20">
      <c r="A6" t="s">
        <v>65</v>
      </c>
      <c r="B6" s="22">
        <v>0.28999999999999998</v>
      </c>
      <c r="C6" s="22">
        <v>-0.48951724137931035</v>
      </c>
      <c r="D6" s="22">
        <v>0.11410137931034484</v>
      </c>
      <c r="Q6" s="41" t="s">
        <v>64</v>
      </c>
      <c r="R6" s="42">
        <v>0.27</v>
      </c>
      <c r="S6" s="42">
        <v>-0.49310344827586211</v>
      </c>
      <c r="T6" s="42">
        <v>8.7328275862068969E-2</v>
      </c>
    </row>
    <row r="7" spans="1:20">
      <c r="A7" t="s">
        <v>66</v>
      </c>
      <c r="B7" s="22">
        <v>0.3</v>
      </c>
      <c r="C7" s="22">
        <v>-0.51600000000000001</v>
      </c>
      <c r="D7" s="22">
        <v>0.15238000000000002</v>
      </c>
      <c r="Q7" s="41" t="s">
        <v>65</v>
      </c>
      <c r="R7" s="42">
        <v>0.28999999999999998</v>
      </c>
      <c r="S7" s="42">
        <v>-0.51072413793103455</v>
      </c>
      <c r="T7" s="42">
        <v>9.6017931034482765E-2</v>
      </c>
    </row>
    <row r="8" spans="1:20">
      <c r="A8" t="s">
        <v>67</v>
      </c>
      <c r="B8" s="22">
        <v>0.32</v>
      </c>
      <c r="C8" s="22">
        <v>-0.5</v>
      </c>
      <c r="D8" s="22">
        <v>0.19788000000000003</v>
      </c>
      <c r="Q8" s="41" t="s">
        <v>66</v>
      </c>
      <c r="R8" s="42">
        <v>0.31</v>
      </c>
      <c r="S8" s="42">
        <v>-0.55100000000000005</v>
      </c>
      <c r="T8" s="42">
        <v>0.11588000000000001</v>
      </c>
    </row>
    <row r="9" spans="1:20">
      <c r="A9" t="s">
        <v>68</v>
      </c>
      <c r="B9" s="22">
        <v>0.34</v>
      </c>
      <c r="C9" s="22">
        <v>-0.48399999999999999</v>
      </c>
      <c r="D9" s="22">
        <v>0.25038000000000005</v>
      </c>
      <c r="Q9" s="41" t="s">
        <v>67</v>
      </c>
      <c r="R9" s="42">
        <v>0.33</v>
      </c>
      <c r="S9" s="42">
        <v>-0.5455000000000001</v>
      </c>
      <c r="T9" s="42">
        <v>0.1565</v>
      </c>
    </row>
    <row r="10" spans="1:20">
      <c r="A10" t="s">
        <v>69</v>
      </c>
      <c r="B10" s="22">
        <v>0.34666666666666668</v>
      </c>
      <c r="C10" s="22">
        <v>-0.47433333333333333</v>
      </c>
      <c r="D10" s="22">
        <v>0.26088000000000006</v>
      </c>
      <c r="Q10" s="41" t="s">
        <v>68</v>
      </c>
      <c r="R10" s="42">
        <v>0.36</v>
      </c>
      <c r="S10" s="42">
        <v>-0.54</v>
      </c>
      <c r="T10" s="42">
        <v>0.20250000000000001</v>
      </c>
    </row>
    <row r="11" spans="1:20">
      <c r="A11" t="s">
        <v>70</v>
      </c>
      <c r="B11" s="22">
        <v>0.35333333333333333</v>
      </c>
      <c r="C11" s="22">
        <v>-0.46466666666666667</v>
      </c>
      <c r="D11" s="22">
        <v>0.27138000000000001</v>
      </c>
      <c r="Q11" s="41" t="s">
        <v>69</v>
      </c>
      <c r="R11" s="42">
        <v>0.38</v>
      </c>
      <c r="S11" s="42">
        <v>-0.53433333333333333</v>
      </c>
      <c r="T11" s="42">
        <v>0.20433333333333334</v>
      </c>
    </row>
    <row r="12" spans="1:20">
      <c r="A12" t="s">
        <v>71</v>
      </c>
      <c r="B12" s="22">
        <v>0.36</v>
      </c>
      <c r="C12" s="22">
        <v>-0.45500000000000002</v>
      </c>
      <c r="D12" s="22">
        <v>0.28188000000000002</v>
      </c>
      <c r="Q12" s="41" t="s">
        <v>70</v>
      </c>
      <c r="R12" s="42">
        <v>0.39999999999999997</v>
      </c>
      <c r="S12" s="42">
        <v>-0.52866666666666673</v>
      </c>
      <c r="T12" s="42">
        <v>0.20616666666666669</v>
      </c>
    </row>
    <row r="13" spans="1:20">
      <c r="A13" t="s">
        <v>72</v>
      </c>
      <c r="B13" s="22">
        <v>0.37666666666666665</v>
      </c>
      <c r="C13" s="22">
        <v>-0.44500000000000001</v>
      </c>
      <c r="D13" s="22">
        <v>0.30388000000000004</v>
      </c>
      <c r="Q13" s="41" t="s">
        <v>71</v>
      </c>
      <c r="R13" s="42">
        <v>0.42</v>
      </c>
      <c r="S13" s="42">
        <v>-0.52300000000000002</v>
      </c>
      <c r="T13" s="42">
        <v>0.20800000000000002</v>
      </c>
    </row>
    <row r="14" spans="1:20">
      <c r="A14" t="s">
        <v>73</v>
      </c>
      <c r="B14" s="22">
        <v>0.39333333333333337</v>
      </c>
      <c r="C14" s="22">
        <v>-0.435</v>
      </c>
      <c r="D14" s="22">
        <v>0.32588000000000006</v>
      </c>
      <c r="Q14" s="41" t="s">
        <v>72</v>
      </c>
      <c r="R14" s="42">
        <v>0.4433333333333333</v>
      </c>
      <c r="S14" s="42">
        <v>-0.51966666666666672</v>
      </c>
      <c r="T14" s="42">
        <v>0.22427166666666667</v>
      </c>
    </row>
    <row r="15" spans="1:20">
      <c r="A15" t="s">
        <v>74</v>
      </c>
      <c r="B15" s="22">
        <v>0.41000000000000003</v>
      </c>
      <c r="C15" s="22">
        <v>-0.42499999999999999</v>
      </c>
      <c r="D15" s="22">
        <v>0.34788000000000008</v>
      </c>
      <c r="Q15" s="41" t="s">
        <v>73</v>
      </c>
      <c r="R15" s="42">
        <v>0.46666666666666667</v>
      </c>
      <c r="S15" s="42">
        <v>-0.51633333333333342</v>
      </c>
      <c r="T15" s="42">
        <v>0.24054333333333333</v>
      </c>
    </row>
    <row r="16" spans="1:20">
      <c r="A16" t="s">
        <v>75</v>
      </c>
      <c r="B16" s="22">
        <v>0.42333333333333334</v>
      </c>
      <c r="C16" s="22">
        <v>-0.41499999999999998</v>
      </c>
      <c r="D16" s="22">
        <v>0.3698800000000001</v>
      </c>
      <c r="Q16" s="41" t="s">
        <v>74</v>
      </c>
      <c r="R16" s="42">
        <v>0.49</v>
      </c>
      <c r="S16" s="42">
        <v>-0.51300000000000012</v>
      </c>
      <c r="T16" s="42">
        <v>0.25681500000000002</v>
      </c>
    </row>
    <row r="17" spans="1:35">
      <c r="A17" t="s">
        <v>76</v>
      </c>
      <c r="B17" s="22">
        <v>0.41666666666666669</v>
      </c>
      <c r="C17" s="22">
        <v>-0.40499999999999997</v>
      </c>
      <c r="D17" s="22">
        <v>0.39188000000000012</v>
      </c>
      <c r="Q17" s="41" t="s">
        <v>75</v>
      </c>
      <c r="R17" s="42">
        <v>0.51666666666666672</v>
      </c>
      <c r="S17" s="42">
        <v>-0.50966666666666682</v>
      </c>
      <c r="T17" s="42">
        <v>0.2730866666666667</v>
      </c>
    </row>
    <row r="18" spans="1:35">
      <c r="A18" t="s">
        <v>77</v>
      </c>
      <c r="B18" s="22">
        <v>0.43</v>
      </c>
      <c r="C18" s="22">
        <v>-0.39500000000000002</v>
      </c>
      <c r="D18" s="22">
        <v>0.41388000000000003</v>
      </c>
      <c r="Q18" s="41" t="s">
        <v>76</v>
      </c>
      <c r="R18" s="42">
        <v>0.5033333333333333</v>
      </c>
      <c r="S18" s="42">
        <v>-0.50633333333333352</v>
      </c>
      <c r="T18" s="42">
        <v>0.28935833333333338</v>
      </c>
      <c r="V18" s="116" t="s">
        <v>60</v>
      </c>
      <c r="AC18" s="120" t="s">
        <v>61</v>
      </c>
      <c r="AG18" s="117" t="s">
        <v>62</v>
      </c>
    </row>
    <row r="19" spans="1:35">
      <c r="A19" t="s">
        <v>78</v>
      </c>
      <c r="B19" s="22">
        <v>0.48000000000000004</v>
      </c>
      <c r="C19" s="22">
        <v>-0.46500000000000002</v>
      </c>
      <c r="D19" s="22">
        <v>0.21500000000000002</v>
      </c>
      <c r="Q19" s="41" t="s">
        <v>77</v>
      </c>
      <c r="R19" s="42">
        <v>0.53</v>
      </c>
      <c r="S19" s="42">
        <v>-0.503</v>
      </c>
      <c r="T19" s="42">
        <v>0.30563000000000001</v>
      </c>
    </row>
    <row r="20" spans="1:35" ht="18">
      <c r="A20" t="s">
        <v>79</v>
      </c>
      <c r="B20" s="22">
        <v>0.59000000000000008</v>
      </c>
      <c r="C20" s="22">
        <v>-0.46560000000000001</v>
      </c>
      <c r="D20" s="22">
        <v>0.21850000000000003</v>
      </c>
      <c r="Q20" s="108" t="s">
        <v>78</v>
      </c>
      <c r="R20" s="109">
        <v>0.89</v>
      </c>
      <c r="S20" s="119">
        <v>-0.51700000000000002</v>
      </c>
      <c r="T20" s="118">
        <v>0.20390000000000003</v>
      </c>
      <c r="V20" s="41" t="s">
        <v>151</v>
      </c>
      <c r="W20">
        <f>POWER((1+R20/100),2)</f>
        <v>1.0178792099999998</v>
      </c>
      <c r="X20" s="112">
        <f>W20-1</f>
        <v>1.7879209999999812E-2</v>
      </c>
      <c r="Y20" t="s">
        <v>153</v>
      </c>
      <c r="AC20" s="41" t="s">
        <v>151</v>
      </c>
      <c r="AD20">
        <f>POWER((1+S20/100),2)</f>
        <v>0.98968672889999998</v>
      </c>
      <c r="AG20" s="41" t="s">
        <v>151</v>
      </c>
      <c r="AH20">
        <f>POWER((1+T20/100),2)</f>
        <v>1.0040821575209997</v>
      </c>
    </row>
    <row r="21" spans="1:35">
      <c r="A21" t="s">
        <v>80</v>
      </c>
      <c r="B21" s="22">
        <v>0.69000000000000006</v>
      </c>
      <c r="C21" s="22">
        <v>-0.44710000000000005</v>
      </c>
      <c r="D21" s="22">
        <v>0.254</v>
      </c>
      <c r="Q21" s="31" t="s">
        <v>79</v>
      </c>
      <c r="R21" s="111">
        <v>1.08</v>
      </c>
      <c r="S21" s="111">
        <v>-0.48950000000000005</v>
      </c>
      <c r="T21" s="111">
        <v>0.28049999999999997</v>
      </c>
      <c r="X21" s="112"/>
      <c r="AC21" s="41"/>
      <c r="AG21" s="41"/>
    </row>
    <row r="22" spans="1:35" ht="18">
      <c r="A22" t="s">
        <v>81</v>
      </c>
      <c r="B22" s="22">
        <v>0.79</v>
      </c>
      <c r="C22" s="22">
        <v>-0.42110000000000003</v>
      </c>
      <c r="D22" s="22">
        <v>0.31100000000000005</v>
      </c>
      <c r="Q22" s="108" t="s">
        <v>80</v>
      </c>
      <c r="R22" s="109">
        <v>1.19</v>
      </c>
      <c r="S22" s="119">
        <v>-0.45100000000000001</v>
      </c>
      <c r="T22" s="118">
        <v>0.42000000000000004</v>
      </c>
      <c r="V22" s="110" t="s">
        <v>152</v>
      </c>
      <c r="W22">
        <f>POWER((1+R22/100),4)</f>
        <v>1.0484564206893923</v>
      </c>
      <c r="X22" s="112">
        <f>W22-1</f>
        <v>4.8456420689392266E-2</v>
      </c>
      <c r="Y22" t="s">
        <v>154</v>
      </c>
      <c r="AC22" s="110" t="s">
        <v>152</v>
      </c>
      <c r="AD22">
        <f>POWER((1+S22/100),4)</f>
        <v>0.98208167407831548</v>
      </c>
      <c r="AG22" s="110" t="s">
        <v>152</v>
      </c>
      <c r="AH22">
        <f>POWER((1+T22/100),4)</f>
        <v>1.0169061366631695</v>
      </c>
    </row>
    <row r="23" spans="1:35">
      <c r="A23" t="s">
        <v>82</v>
      </c>
      <c r="B23" s="22">
        <v>0.85000000000000009</v>
      </c>
      <c r="C23" s="22">
        <v>-0.38730000000000003</v>
      </c>
      <c r="D23" s="22">
        <v>0.38455</v>
      </c>
      <c r="Q23" s="41" t="s">
        <v>81</v>
      </c>
      <c r="R23" s="42">
        <v>1.28</v>
      </c>
      <c r="S23" s="42">
        <v>-0.40600000000000003</v>
      </c>
      <c r="T23" s="42">
        <v>0.57499999999999996</v>
      </c>
      <c r="AC23" s="41"/>
      <c r="AG23" s="41"/>
    </row>
    <row r="24" spans="1:35">
      <c r="A24" t="s">
        <v>83</v>
      </c>
      <c r="B24" s="22">
        <v>0.89</v>
      </c>
      <c r="C24" s="22">
        <v>-0.34570000000000001</v>
      </c>
      <c r="D24" s="22">
        <v>0.46100000000000002</v>
      </c>
      <c r="Q24" s="41" t="s">
        <v>82</v>
      </c>
      <c r="R24" s="42">
        <v>1.33</v>
      </c>
      <c r="S24" s="42">
        <v>-0.35210000000000002</v>
      </c>
      <c r="T24" s="42">
        <v>0.73150000000000004</v>
      </c>
      <c r="W24">
        <f>SQRT(W22/W20)</f>
        <v>1.0149089206066013</v>
      </c>
      <c r="Y24" t="s">
        <v>157</v>
      </c>
      <c r="AC24" s="41"/>
      <c r="AD24">
        <f>SQRT(AD22/AD20)</f>
        <v>0.99615043786375557</v>
      </c>
      <c r="AG24" s="41"/>
      <c r="AH24">
        <f>SQRT(AH22/AH20)</f>
        <v>1.006365660418407</v>
      </c>
    </row>
    <row r="25" spans="1:35" ht="15" thickBot="1">
      <c r="A25" t="s">
        <v>84</v>
      </c>
      <c r="B25" s="22">
        <v>0.93</v>
      </c>
      <c r="C25" s="22">
        <v>-0.30410000000000004</v>
      </c>
      <c r="D25" s="22">
        <v>0.53200000000000003</v>
      </c>
      <c r="Q25" s="41" t="s">
        <v>83</v>
      </c>
      <c r="R25" s="42">
        <v>1.36</v>
      </c>
      <c r="S25" s="42">
        <v>-0.29600000000000004</v>
      </c>
      <c r="T25" s="42">
        <v>0.87350000000000005</v>
      </c>
      <c r="AC25" s="41"/>
      <c r="AG25" s="41"/>
    </row>
    <row r="26" spans="1:35" ht="15" thickBot="1">
      <c r="A26" t="s">
        <v>85</v>
      </c>
      <c r="B26" s="22">
        <v>0.96000000000000008</v>
      </c>
      <c r="C26" s="22">
        <v>-0.25700000000000001</v>
      </c>
      <c r="D26" s="22">
        <v>0.60899999999999999</v>
      </c>
      <c r="Q26" s="41" t="s">
        <v>84</v>
      </c>
      <c r="R26" s="42">
        <v>1.3900000000000001</v>
      </c>
      <c r="S26" s="42">
        <v>-0.23800000000000002</v>
      </c>
      <c r="T26" s="42">
        <v>0.99950000000000006</v>
      </c>
      <c r="V26" s="113" t="s">
        <v>156</v>
      </c>
      <c r="W26" s="114">
        <f>W24-1</f>
        <v>1.4908920606601317E-2</v>
      </c>
      <c r="X26" s="115" t="s">
        <v>155</v>
      </c>
      <c r="Y26" t="s">
        <v>158</v>
      </c>
      <c r="AC26" s="121" t="s">
        <v>159</v>
      </c>
      <c r="AD26" s="123">
        <f>AD24-1</f>
        <v>-3.8495621362444332E-3</v>
      </c>
      <c r="AE26" s="122" t="s">
        <v>155</v>
      </c>
      <c r="AG26" s="113" t="s">
        <v>156</v>
      </c>
      <c r="AH26" s="114">
        <f>AH24-1</f>
        <v>6.3656604184070265E-3</v>
      </c>
      <c r="AI26" s="115" t="s">
        <v>155</v>
      </c>
    </row>
    <row r="27" spans="1:35">
      <c r="A27" t="s">
        <v>86</v>
      </c>
      <c r="B27" s="22">
        <v>1</v>
      </c>
      <c r="C27" s="22">
        <v>-0.2104</v>
      </c>
      <c r="D27" s="22">
        <v>0.66100000000000003</v>
      </c>
      <c r="Q27" s="41" t="s">
        <v>85</v>
      </c>
      <c r="R27" s="42">
        <v>1.4100000000000001</v>
      </c>
      <c r="S27" s="42">
        <v>-0.18110000000000001</v>
      </c>
      <c r="T27" s="42">
        <v>1.1085</v>
      </c>
    </row>
    <row r="28" spans="1:35">
      <c r="A28" t="s">
        <v>87</v>
      </c>
      <c r="B28" s="22">
        <v>1.04</v>
      </c>
      <c r="C28" s="22">
        <v>-0.13403999999999999</v>
      </c>
      <c r="D28" s="22">
        <v>0.74540000000000006</v>
      </c>
      <c r="Q28" s="41" t="s">
        <v>86</v>
      </c>
      <c r="R28" s="42">
        <v>1.46</v>
      </c>
      <c r="S28" s="42">
        <v>-0.1241</v>
      </c>
      <c r="T28" s="42">
        <v>1.2040000000000002</v>
      </c>
    </row>
    <row r="29" spans="1:35">
      <c r="A29" t="s">
        <v>88</v>
      </c>
      <c r="B29" s="22">
        <v>1.1400000000000001</v>
      </c>
      <c r="C29" s="22">
        <v>-1.95E-2</v>
      </c>
      <c r="D29" s="22">
        <v>0.87200000000000011</v>
      </c>
      <c r="Q29" s="41" t="s">
        <v>87</v>
      </c>
      <c r="R29" s="42">
        <v>1.5</v>
      </c>
      <c r="S29" s="42">
        <v>-3.3299999999999996E-2</v>
      </c>
      <c r="T29" s="42">
        <v>1.32</v>
      </c>
    </row>
    <row r="30" spans="1:35">
      <c r="A30" t="s">
        <v>89</v>
      </c>
      <c r="B30" s="22">
        <v>1.1700000000000002</v>
      </c>
      <c r="C30" s="22">
        <v>5.7500000000000002E-2</v>
      </c>
      <c r="D30" s="22">
        <v>0.9850000000000001</v>
      </c>
      <c r="Q30" s="41" t="s">
        <v>88</v>
      </c>
      <c r="R30" s="42">
        <v>1.6300000000000001</v>
      </c>
      <c r="S30" s="42">
        <v>0.10290000000000001</v>
      </c>
      <c r="T30" s="42">
        <v>1.494</v>
      </c>
    </row>
    <row r="31" spans="1:35">
      <c r="A31" t="s">
        <v>90</v>
      </c>
      <c r="B31" s="22">
        <v>1.2000000000000002</v>
      </c>
      <c r="C31" s="22">
        <v>4.1500000000000002E-2</v>
      </c>
      <c r="D31" s="22">
        <v>1.0089999999999999</v>
      </c>
      <c r="Q31" s="41" t="s">
        <v>89</v>
      </c>
      <c r="R31" s="42">
        <v>1.6800000000000002</v>
      </c>
      <c r="S31" s="42">
        <v>0.21000000000000002</v>
      </c>
      <c r="T31" s="42">
        <v>1.621</v>
      </c>
    </row>
    <row r="32" spans="1:35">
      <c r="A32" t="s">
        <v>91</v>
      </c>
      <c r="B32" s="22">
        <v>1.2300000000000002</v>
      </c>
      <c r="C32" s="22">
        <v>2.5500000000000002E-2</v>
      </c>
      <c r="D32" s="22">
        <v>1.0329999999999999</v>
      </c>
      <c r="Q32" s="41" t="s">
        <v>90</v>
      </c>
      <c r="R32" s="42">
        <v>1.7300000000000002</v>
      </c>
      <c r="S32" s="42">
        <v>0.21700000000000003</v>
      </c>
      <c r="T32" s="42">
        <v>1.6615000000000002</v>
      </c>
    </row>
    <row r="33" spans="17:20">
      <c r="Q33" s="41" t="s">
        <v>91</v>
      </c>
      <c r="R33" s="42">
        <v>1.7800000000000002</v>
      </c>
      <c r="S33" s="42">
        <v>0.22400000000000003</v>
      </c>
      <c r="T33" s="42">
        <v>1.7020000000000002</v>
      </c>
    </row>
  </sheetData>
  <pageMargins left="0.7" right="0.7" top="0.78740157499999996" bottom="0.78740157499999996"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E382-D812-4CCB-AF08-C23CEBF06B7B}">
  <dimension ref="A1:H13"/>
  <sheetViews>
    <sheetView workbookViewId="0">
      <selection activeCell="D28" sqref="D28"/>
    </sheetView>
  </sheetViews>
  <sheetFormatPr defaultRowHeight="14.4"/>
  <cols>
    <col min="1" max="1" width="11.77734375" customWidth="1"/>
    <col min="2" max="2" width="17.44140625" customWidth="1"/>
    <col min="3" max="3" width="17.6640625" customWidth="1"/>
    <col min="4" max="4" width="16.109375" customWidth="1"/>
    <col min="5" max="5" width="11.6640625" customWidth="1"/>
    <col min="6" max="6" width="12.44140625" customWidth="1"/>
  </cols>
  <sheetData>
    <row r="1" spans="1:8">
      <c r="A1" s="31"/>
      <c r="B1" s="31"/>
      <c r="C1" s="31"/>
      <c r="D1" s="31"/>
      <c r="E1" s="31"/>
      <c r="F1" s="174" t="s">
        <v>110</v>
      </c>
    </row>
    <row r="2" spans="1:8" ht="15.6" customHeight="1">
      <c r="A2" s="47" t="s">
        <v>103</v>
      </c>
      <c r="B2" s="47"/>
      <c r="C2" s="47"/>
      <c r="D2" s="47" t="s">
        <v>113</v>
      </c>
      <c r="E2" s="35"/>
      <c r="F2" s="175"/>
      <c r="G2" s="35"/>
      <c r="H2" s="35"/>
    </row>
    <row r="3" spans="1:8">
      <c r="A3" s="33"/>
      <c r="B3" s="33" t="s">
        <v>109</v>
      </c>
      <c r="C3" s="50">
        <v>-100000</v>
      </c>
      <c r="D3" s="45">
        <f>POWER((1+B12),0)</f>
        <v>1</v>
      </c>
      <c r="E3" s="33"/>
      <c r="F3" s="48">
        <f>C3*D3</f>
        <v>-100000</v>
      </c>
      <c r="G3" s="31"/>
      <c r="H3" s="31"/>
    </row>
    <row r="4" spans="1:8">
      <c r="A4" s="31"/>
      <c r="B4" s="31"/>
      <c r="C4" s="51"/>
      <c r="D4" s="31"/>
      <c r="E4" s="31"/>
      <c r="F4" s="49"/>
      <c r="G4" s="31"/>
      <c r="H4" s="31"/>
    </row>
    <row r="5" spans="1:8">
      <c r="A5" s="35" t="s">
        <v>104</v>
      </c>
      <c r="B5" s="35"/>
      <c r="C5" s="52"/>
      <c r="D5" s="31"/>
      <c r="E5" s="35"/>
      <c r="F5" s="49"/>
      <c r="G5" s="31"/>
      <c r="H5" s="31"/>
    </row>
    <row r="6" spans="1:8">
      <c r="A6" s="33"/>
      <c r="B6" s="33" t="s">
        <v>105</v>
      </c>
      <c r="C6" s="50">
        <v>28000</v>
      </c>
      <c r="D6" s="45">
        <f>POWER((1+B12),-1)</f>
        <v>0.94339622641509424</v>
      </c>
      <c r="E6" s="33"/>
      <c r="F6" s="48">
        <f>C6*D6</f>
        <v>26415.094339622639</v>
      </c>
      <c r="G6" s="31"/>
      <c r="H6" s="31"/>
    </row>
    <row r="7" spans="1:8">
      <c r="A7" s="33"/>
      <c r="B7" s="33" t="s">
        <v>106</v>
      </c>
      <c r="C7" s="50">
        <v>36000</v>
      </c>
      <c r="D7" s="45">
        <f>POWER((1+B12),-2)</f>
        <v>0.88999644001423983</v>
      </c>
      <c r="E7" s="33"/>
      <c r="F7" s="48">
        <f t="shared" ref="F7:F9" si="0">C7*D7</f>
        <v>32039.871840512635</v>
      </c>
      <c r="G7" s="31"/>
      <c r="H7" s="31"/>
    </row>
    <row r="8" spans="1:8">
      <c r="A8" s="33"/>
      <c r="B8" s="33" t="s">
        <v>107</v>
      </c>
      <c r="C8" s="50">
        <v>38000</v>
      </c>
      <c r="D8" s="45">
        <f>POWER((1+B12),-3)</f>
        <v>0.8396192830323016</v>
      </c>
      <c r="E8" s="33"/>
      <c r="F8" s="48">
        <f t="shared" si="0"/>
        <v>31905.532755227461</v>
      </c>
      <c r="G8" s="31"/>
      <c r="H8" s="31"/>
    </row>
    <row r="9" spans="1:8">
      <c r="A9" s="33"/>
      <c r="B9" s="33" t="s">
        <v>108</v>
      </c>
      <c r="C9" s="50">
        <v>36000</v>
      </c>
      <c r="D9" s="45">
        <f>POWER((1+B12),-4)</f>
        <v>0.79209366323802044</v>
      </c>
      <c r="E9" s="33"/>
      <c r="F9" s="48">
        <f t="shared" si="0"/>
        <v>28515.371876568737</v>
      </c>
      <c r="G9" s="31"/>
      <c r="H9" s="31"/>
    </row>
    <row r="10" spans="1:8">
      <c r="A10" s="31"/>
      <c r="B10" s="31"/>
      <c r="C10" s="31"/>
      <c r="D10" s="31"/>
      <c r="E10" s="31"/>
      <c r="F10" s="31"/>
      <c r="G10" s="31"/>
      <c r="H10" s="31"/>
    </row>
    <row r="11" spans="1:8">
      <c r="A11" s="31"/>
      <c r="B11" s="31"/>
      <c r="C11" s="31"/>
      <c r="D11" s="31"/>
      <c r="E11" s="31"/>
      <c r="F11" s="31"/>
      <c r="G11" s="31"/>
      <c r="H11" s="31"/>
    </row>
    <row r="12" spans="1:8">
      <c r="A12" s="35" t="s">
        <v>114</v>
      </c>
      <c r="B12" s="44">
        <v>0.06</v>
      </c>
      <c r="C12" s="31"/>
      <c r="D12" s="46" t="s">
        <v>111</v>
      </c>
      <c r="E12" s="46"/>
      <c r="F12" s="53">
        <f>F6+F7+F8+F9</f>
        <v>118875.87081193147</v>
      </c>
      <c r="G12" s="31"/>
      <c r="H12" s="31"/>
    </row>
    <row r="13" spans="1:8">
      <c r="A13" s="31"/>
      <c r="B13" s="31"/>
      <c r="C13" s="31"/>
      <c r="D13" s="46" t="s">
        <v>112</v>
      </c>
      <c r="E13" s="46"/>
      <c r="F13" s="53">
        <f>F12+F3</f>
        <v>18875.870811931469</v>
      </c>
      <c r="G13" s="31"/>
      <c r="H13" s="31"/>
    </row>
  </sheetData>
  <mergeCells count="1">
    <mergeCell ref="F1:F2"/>
  </mergeCells>
  <pageMargins left="0.7" right="0.7" top="0.78740157499999996" bottom="0.78740157499999996"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D773-F09A-41DC-A662-0D3BBAED269B}">
  <dimension ref="A1:G17"/>
  <sheetViews>
    <sheetView workbookViewId="0">
      <selection activeCell="G21" sqref="G21"/>
    </sheetView>
  </sheetViews>
  <sheetFormatPr defaultRowHeight="14.4"/>
  <cols>
    <col min="2" max="2" width="15.5546875" customWidth="1"/>
    <col min="3" max="3" width="16.33203125" customWidth="1"/>
    <col min="4" max="4" width="12.6640625" customWidth="1"/>
    <col min="5" max="5" width="12.109375" customWidth="1"/>
    <col min="6" max="6" width="15.5546875" customWidth="1"/>
  </cols>
  <sheetData>
    <row r="1" spans="1:7" s="41" customFormat="1">
      <c r="A1" s="63" t="s">
        <v>118</v>
      </c>
      <c r="B1" s="63"/>
      <c r="C1" s="64">
        <v>5.3999999999999999E-2</v>
      </c>
      <c r="D1" s="31"/>
      <c r="E1" s="31"/>
      <c r="F1" s="31"/>
    </row>
    <row r="2" spans="1:7">
      <c r="A2" s="63" t="s">
        <v>115</v>
      </c>
      <c r="B2" s="63"/>
      <c r="C2" s="65">
        <f>C1/2</f>
        <v>2.7E-2</v>
      </c>
      <c r="D2" s="31"/>
      <c r="E2" s="31"/>
      <c r="F2" s="31"/>
    </row>
    <row r="3" spans="1:7" s="41" customFormat="1">
      <c r="A3" s="31"/>
      <c r="B3" s="31"/>
      <c r="C3" s="31"/>
      <c r="D3" s="31"/>
      <c r="E3" s="31"/>
      <c r="F3" s="31"/>
    </row>
    <row r="4" spans="1:7" ht="34.200000000000003" customHeight="1">
      <c r="A4" s="56" t="s">
        <v>119</v>
      </c>
      <c r="B4" s="31"/>
      <c r="C4" s="56" t="s">
        <v>120</v>
      </c>
      <c r="D4" s="56" t="s">
        <v>121</v>
      </c>
      <c r="E4" s="56" t="s">
        <v>113</v>
      </c>
      <c r="F4" s="56" t="s">
        <v>116</v>
      </c>
    </row>
    <row r="5" spans="1:7">
      <c r="A5" s="31">
        <f>2*0.5</f>
        <v>1</v>
      </c>
      <c r="B5" s="54">
        <v>44377</v>
      </c>
      <c r="C5" s="57">
        <f>0.055/2*1000</f>
        <v>27.5</v>
      </c>
      <c r="D5" s="57"/>
      <c r="E5" s="58">
        <f>1/POWER(1+$C2,A5)</f>
        <v>0.97370983446932824</v>
      </c>
      <c r="F5" s="58">
        <f>C5*E5</f>
        <v>26.777020447906526</v>
      </c>
      <c r="G5" s="59"/>
    </row>
    <row r="6" spans="1:7">
      <c r="A6" s="31">
        <v>2</v>
      </c>
      <c r="B6" s="54">
        <v>44561</v>
      </c>
      <c r="C6" s="57">
        <f t="shared" ref="C6:C14" si="0">0.055/2*1000</f>
        <v>27.5</v>
      </c>
      <c r="D6" s="57"/>
      <c r="E6" s="58">
        <f>1/POWER(1+C2,A6)</f>
        <v>0.94811084174228655</v>
      </c>
      <c r="F6" s="58">
        <f t="shared" ref="F6:F13" si="1">C6*E6</f>
        <v>26.073048147912878</v>
      </c>
      <c r="G6" s="59"/>
    </row>
    <row r="7" spans="1:7">
      <c r="A7" s="31">
        <v>3</v>
      </c>
      <c r="B7" s="54">
        <v>44742</v>
      </c>
      <c r="C7" s="57">
        <f t="shared" si="0"/>
        <v>27.5</v>
      </c>
      <c r="D7" s="57"/>
      <c r="E7" s="58">
        <f>1/POWER(1+C2,A7)</f>
        <v>0.92318485077145729</v>
      </c>
      <c r="F7" s="58">
        <f t="shared" si="1"/>
        <v>25.387583396215074</v>
      </c>
      <c r="G7" s="59"/>
    </row>
    <row r="8" spans="1:7">
      <c r="A8" s="31">
        <v>4</v>
      </c>
      <c r="B8" s="54">
        <v>44926</v>
      </c>
      <c r="C8" s="57">
        <f t="shared" si="0"/>
        <v>27.5</v>
      </c>
      <c r="D8" s="57"/>
      <c r="E8" s="58">
        <f>1/POWER(1+C2,A8)</f>
        <v>0.89891416822926717</v>
      </c>
      <c r="F8" s="58">
        <f t="shared" si="1"/>
        <v>24.720139626304846</v>
      </c>
      <c r="G8" s="59"/>
    </row>
    <row r="9" spans="1:7">
      <c r="A9" s="31">
        <v>5</v>
      </c>
      <c r="B9" s="54">
        <v>45107</v>
      </c>
      <c r="C9" s="57">
        <f t="shared" si="0"/>
        <v>27.5</v>
      </c>
      <c r="D9" s="57"/>
      <c r="E9" s="58">
        <f>1/POWER(1+C2,A9)</f>
        <v>0.87528156594865358</v>
      </c>
      <c r="F9" s="58">
        <f t="shared" si="1"/>
        <v>24.070243063587974</v>
      </c>
      <c r="G9" s="59"/>
    </row>
    <row r="10" spans="1:7">
      <c r="A10" s="31">
        <v>6</v>
      </c>
      <c r="B10" s="54">
        <v>45291</v>
      </c>
      <c r="C10" s="57">
        <f t="shared" si="0"/>
        <v>27.5</v>
      </c>
      <c r="D10" s="57"/>
      <c r="E10" s="58">
        <f>1/POWER(1+C2,A10)</f>
        <v>0.85227026869391798</v>
      </c>
      <c r="F10" s="58">
        <f t="shared" si="1"/>
        <v>23.437432389082744</v>
      </c>
      <c r="G10" s="59"/>
    </row>
    <row r="11" spans="1:7">
      <c r="A11" s="31">
        <v>7</v>
      </c>
      <c r="B11" s="54">
        <v>45473</v>
      </c>
      <c r="C11" s="57">
        <f t="shared" si="0"/>
        <v>27.5</v>
      </c>
      <c r="D11" s="57"/>
      <c r="E11" s="58">
        <f>1/POWER(1+C2,A11)</f>
        <v>0.82986394225308469</v>
      </c>
      <c r="F11" s="58">
        <f t="shared" si="1"/>
        <v>22.821258411959828</v>
      </c>
      <c r="G11" s="59"/>
    </row>
    <row r="12" spans="1:7">
      <c r="A12" s="31">
        <v>8</v>
      </c>
      <c r="B12" s="54">
        <v>45657</v>
      </c>
      <c r="C12" s="57">
        <f t="shared" si="0"/>
        <v>27.5</v>
      </c>
      <c r="D12" s="57"/>
      <c r="E12" s="58">
        <f>1/POWER(1+C2,A12)</f>
        <v>0.8080466818433153</v>
      </c>
      <c r="F12" s="58">
        <f t="shared" si="1"/>
        <v>22.221283750691171</v>
      </c>
      <c r="G12" s="59"/>
    </row>
    <row r="13" spans="1:7">
      <c r="A13" s="31">
        <v>9</v>
      </c>
      <c r="B13" s="54">
        <v>45838</v>
      </c>
      <c r="C13" s="57">
        <f t="shared" si="0"/>
        <v>27.5</v>
      </c>
      <c r="D13" s="57"/>
      <c r="E13" s="58">
        <f>1/POWER(1+C2,A13)</f>
        <v>0.78680300082114452</v>
      </c>
      <c r="F13" s="58">
        <f t="shared" si="1"/>
        <v>21.637082522581473</v>
      </c>
      <c r="G13" s="59"/>
    </row>
    <row r="14" spans="1:7">
      <c r="A14" s="31">
        <v>10</v>
      </c>
      <c r="B14" s="54">
        <v>46022</v>
      </c>
      <c r="C14" s="57">
        <f t="shared" si="0"/>
        <v>27.5</v>
      </c>
      <c r="D14" s="57">
        <v>1000</v>
      </c>
      <c r="E14" s="58">
        <f>1/POWER(1+C2,A14)</f>
        <v>0.7661178196895273</v>
      </c>
      <c r="F14" s="58">
        <f>(C14+D14)*E14</f>
        <v>787.18605973098931</v>
      </c>
      <c r="G14" s="59"/>
    </row>
    <row r="15" spans="1:7" ht="15" thickBot="1">
      <c r="A15" s="31"/>
      <c r="B15" s="54"/>
      <c r="C15" s="31"/>
      <c r="D15" s="31"/>
      <c r="E15" s="55"/>
      <c r="F15" s="55"/>
    </row>
    <row r="16" spans="1:7" ht="15" thickBot="1">
      <c r="A16" s="31"/>
      <c r="B16" s="54"/>
      <c r="C16" s="31"/>
      <c r="D16" s="60" t="s">
        <v>117</v>
      </c>
      <c r="E16" s="61"/>
      <c r="F16" s="62">
        <f>SUM(F5:F15)</f>
        <v>1004.3311514872319</v>
      </c>
    </row>
    <row r="17" spans="5:6">
      <c r="E17" s="23"/>
      <c r="F17" s="23"/>
    </row>
  </sheetData>
  <pageMargins left="0.7" right="0.7" top="0.78740157499999996" bottom="0.78740157499999996"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B213-440B-4555-86AD-9E0C39EC2580}">
  <dimension ref="A1:E7"/>
  <sheetViews>
    <sheetView workbookViewId="0">
      <selection activeCell="D4" sqref="D4"/>
    </sheetView>
  </sheetViews>
  <sheetFormatPr defaultRowHeight="14.4"/>
  <cols>
    <col min="1" max="1" width="20" customWidth="1"/>
    <col min="2" max="2" width="15.77734375" customWidth="1"/>
    <col min="3" max="3" width="21.21875" customWidth="1"/>
    <col min="4" max="4" width="24.33203125" customWidth="1"/>
  </cols>
  <sheetData>
    <row r="1" spans="1:5" ht="15" thickBot="1"/>
    <row r="2" spans="1:5">
      <c r="A2" s="75" t="s">
        <v>57</v>
      </c>
      <c r="B2" s="76" t="s">
        <v>125</v>
      </c>
      <c r="C2" s="76" t="s">
        <v>126</v>
      </c>
      <c r="D2" s="77" t="s">
        <v>127</v>
      </c>
      <c r="E2" s="20"/>
    </row>
    <row r="3" spans="1:5">
      <c r="A3" s="67" t="s">
        <v>128</v>
      </c>
      <c r="B3" s="68">
        <v>2.35E-2</v>
      </c>
      <c r="C3" s="69">
        <v>1</v>
      </c>
      <c r="D3" s="70">
        <f>POWER((1+B3/C3),C3)-100%</f>
        <v>2.3500000000000076E-2</v>
      </c>
    </row>
    <row r="4" spans="1:5">
      <c r="A4" s="67" t="s">
        <v>122</v>
      </c>
      <c r="B4" s="68">
        <v>2.3300000000000001E-2</v>
      </c>
      <c r="C4" s="69">
        <v>4</v>
      </c>
      <c r="D4" s="70">
        <f>POWER(1+B4/C4,C4)-100%</f>
        <v>2.3504375484849405E-2</v>
      </c>
    </row>
    <row r="5" spans="1:5">
      <c r="A5" s="67" t="s">
        <v>123</v>
      </c>
      <c r="B5" s="68">
        <v>2.35E-2</v>
      </c>
      <c r="C5" s="69">
        <v>2</v>
      </c>
      <c r="D5" s="70">
        <f>POWER(1+B5/C5,C5)-100%</f>
        <v>2.363806249999989E-2</v>
      </c>
    </row>
    <row r="6" spans="1:5" ht="15" thickBot="1">
      <c r="A6" s="71" t="s">
        <v>124</v>
      </c>
      <c r="B6" s="72">
        <v>2.3400000000000001E-2</v>
      </c>
      <c r="C6" s="73">
        <v>12</v>
      </c>
      <c r="D6" s="74">
        <f>POWER(1+B6/C6,C6)-100%</f>
        <v>2.3652603452088083E-2</v>
      </c>
    </row>
    <row r="7" spans="1:5">
      <c r="B7" s="19"/>
      <c r="D7" s="66"/>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638-DBC3-4D27-BDAD-7CD863D0D968}">
  <dimension ref="B1:N153"/>
  <sheetViews>
    <sheetView tabSelected="1" topLeftCell="B5" workbookViewId="0">
      <selection activeCell="M8" sqref="M8"/>
    </sheetView>
  </sheetViews>
  <sheetFormatPr defaultRowHeight="14.4"/>
  <cols>
    <col min="2" max="2" width="19.6640625" customWidth="1"/>
    <col min="3" max="3" width="11.44140625" bestFit="1" customWidth="1"/>
    <col min="4" max="4" width="18.33203125" customWidth="1"/>
    <col min="5" max="5" width="19.109375" customWidth="1"/>
    <col min="6" max="6" width="12.21875" customWidth="1"/>
    <col min="7" max="7" width="16.6640625" customWidth="1"/>
    <col min="8" max="8" width="19.21875" customWidth="1"/>
    <col min="9" max="9" width="15" customWidth="1"/>
    <col min="10" max="10" width="18.33203125" customWidth="1"/>
    <col min="11" max="12" width="13.109375" customWidth="1"/>
  </cols>
  <sheetData>
    <row r="1" spans="2:14" s="41" customFormat="1">
      <c r="B1" s="90" t="s">
        <v>142</v>
      </c>
      <c r="C1" s="31"/>
      <c r="D1" s="31"/>
      <c r="E1" s="31"/>
      <c r="F1" s="83"/>
    </row>
    <row r="2" spans="2:14" s="41" customFormat="1">
      <c r="B2" s="31"/>
      <c r="C2" s="31"/>
      <c r="D2" s="31"/>
      <c r="E2" s="31"/>
      <c r="F2" s="83"/>
      <c r="L2" s="20" t="s">
        <v>148</v>
      </c>
      <c r="M2" s="20"/>
      <c r="N2" s="20"/>
    </row>
    <row r="3" spans="2:14" s="41" customFormat="1">
      <c r="B3" s="86" t="s">
        <v>55</v>
      </c>
      <c r="C3" s="86"/>
      <c r="D3" s="86" t="s">
        <v>133</v>
      </c>
      <c r="E3" s="87"/>
      <c r="G3" s="86" t="s">
        <v>55</v>
      </c>
      <c r="H3" s="86"/>
      <c r="I3" s="86" t="s">
        <v>133</v>
      </c>
      <c r="J3" s="87"/>
    </row>
    <row r="4" spans="2:14" s="41" customFormat="1">
      <c r="B4" s="87" t="s">
        <v>48</v>
      </c>
      <c r="C4" s="100">
        <v>78</v>
      </c>
      <c r="D4" s="87" t="s">
        <v>94</v>
      </c>
      <c r="E4" s="100">
        <v>380</v>
      </c>
      <c r="G4" s="87" t="s">
        <v>48</v>
      </c>
      <c r="H4" s="96">
        <v>78</v>
      </c>
      <c r="I4" s="87" t="s">
        <v>94</v>
      </c>
      <c r="J4" s="96">
        <v>380</v>
      </c>
    </row>
    <row r="5" spans="2:14" s="41" customFormat="1">
      <c r="B5" s="87" t="s">
        <v>129</v>
      </c>
      <c r="C5" s="100" t="s">
        <v>46</v>
      </c>
      <c r="D5" s="87" t="s">
        <v>134</v>
      </c>
      <c r="E5" s="100">
        <v>10</v>
      </c>
      <c r="G5" s="87" t="s">
        <v>129</v>
      </c>
      <c r="H5" s="96">
        <v>100</v>
      </c>
      <c r="I5" s="87" t="s">
        <v>134</v>
      </c>
      <c r="J5" s="96">
        <v>10</v>
      </c>
      <c r="L5" s="20" t="s">
        <v>149</v>
      </c>
      <c r="M5" s="20">
        <v>0</v>
      </c>
    </row>
    <row r="6" spans="2:14" s="41" customFormat="1">
      <c r="B6" s="87" t="s">
        <v>130</v>
      </c>
      <c r="C6" s="100" t="s">
        <v>46</v>
      </c>
      <c r="D6" s="87" t="s">
        <v>56</v>
      </c>
      <c r="E6" s="100">
        <v>40</v>
      </c>
      <c r="G6" s="87" t="s">
        <v>130</v>
      </c>
      <c r="H6" s="96">
        <f>J14</f>
        <v>106.90246099938663</v>
      </c>
      <c r="I6" s="87" t="s">
        <v>56</v>
      </c>
      <c r="J6" s="96">
        <v>40</v>
      </c>
      <c r="L6" s="20" t="s">
        <v>130</v>
      </c>
      <c r="M6" s="21">
        <f>H14</f>
        <v>3.4064403103357628</v>
      </c>
    </row>
    <row r="7" spans="2:14" s="41" customFormat="1">
      <c r="B7" s="87" t="s">
        <v>131</v>
      </c>
      <c r="C7" s="100" t="s">
        <v>46</v>
      </c>
      <c r="D7" s="87"/>
      <c r="E7" s="100"/>
      <c r="G7" s="87" t="s">
        <v>131</v>
      </c>
      <c r="H7" s="96">
        <f>J67</f>
        <v>108.86373948070965</v>
      </c>
      <c r="I7" s="87"/>
      <c r="J7" s="89"/>
      <c r="L7" s="20" t="s">
        <v>131</v>
      </c>
      <c r="M7" s="21">
        <f>SUM(H56:H67)</f>
        <v>2.9126603286844701</v>
      </c>
    </row>
    <row r="8" spans="2:14" s="41" customFormat="1">
      <c r="B8" s="87" t="s">
        <v>132</v>
      </c>
      <c r="C8" s="100">
        <v>58</v>
      </c>
      <c r="D8" s="87" t="s">
        <v>135</v>
      </c>
      <c r="E8" s="100" t="s">
        <v>46</v>
      </c>
      <c r="G8" s="87" t="s">
        <v>132</v>
      </c>
      <c r="H8" s="96">
        <v>58</v>
      </c>
      <c r="I8" s="87" t="s">
        <v>135</v>
      </c>
      <c r="J8" s="99">
        <f>H9-J4-J5-J6</f>
        <v>21.766200480096245</v>
      </c>
      <c r="L8" s="20"/>
      <c r="M8" s="21"/>
    </row>
    <row r="9" spans="2:14" s="41" customFormat="1">
      <c r="B9" s="88" t="s">
        <v>100</v>
      </c>
      <c r="C9" s="101"/>
      <c r="D9" s="88"/>
      <c r="E9" s="88"/>
      <c r="G9" s="88" t="s">
        <v>100</v>
      </c>
      <c r="H9" s="97">
        <f>SUM(H4:H8)</f>
        <v>451.76620048009624</v>
      </c>
      <c r="I9" s="88"/>
      <c r="J9" s="98">
        <f>J4+J5+J6+J8</f>
        <v>451.76620048009624</v>
      </c>
      <c r="L9" s="20" t="s">
        <v>150</v>
      </c>
      <c r="M9" s="21">
        <f>M5+M6+M7</f>
        <v>6.3191006390202329</v>
      </c>
    </row>
    <row r="10" spans="2:14" s="41" customFormat="1"/>
    <row r="11" spans="2:14">
      <c r="B11" s="41"/>
      <c r="C11" s="41"/>
      <c r="D11" s="41"/>
      <c r="E11" s="41"/>
      <c r="F11" s="41"/>
      <c r="G11" s="41"/>
      <c r="H11" s="41"/>
      <c r="I11" s="41"/>
      <c r="J11" s="41"/>
      <c r="K11" s="41"/>
      <c r="L11" s="41"/>
    </row>
    <row r="12" spans="2:14" ht="43.2">
      <c r="B12" s="46" t="s">
        <v>136</v>
      </c>
      <c r="C12" s="33"/>
      <c r="D12" s="18"/>
      <c r="E12" s="18"/>
      <c r="F12" s="32" t="s">
        <v>147</v>
      </c>
      <c r="G12" s="32" t="s">
        <v>137</v>
      </c>
      <c r="H12" s="32" t="s">
        <v>49</v>
      </c>
      <c r="I12" s="32" t="s">
        <v>138</v>
      </c>
      <c r="J12" s="93" t="s">
        <v>139</v>
      </c>
      <c r="K12" s="32" t="s">
        <v>140</v>
      </c>
      <c r="L12" s="32" t="s">
        <v>141</v>
      </c>
    </row>
    <row r="13" spans="2:14" ht="15" thickBot="1">
      <c r="B13" s="33" t="s">
        <v>11</v>
      </c>
      <c r="C13" s="33"/>
      <c r="D13" s="18"/>
      <c r="E13" s="18">
        <v>2019</v>
      </c>
      <c r="F13" s="33">
        <v>1</v>
      </c>
      <c r="G13" s="34">
        <f t="shared" ref="G13:G22" si="0">$C$19</f>
        <v>10.051989655474564</v>
      </c>
      <c r="H13" s="34">
        <f>C15*C16</f>
        <v>3.5999999999999996</v>
      </c>
      <c r="I13" s="91">
        <f>G13-H13</f>
        <v>6.4519896554745646</v>
      </c>
      <c r="J13" s="34">
        <f>$C$15-I13</f>
        <v>113.54801034452544</v>
      </c>
      <c r="K13" s="92">
        <f t="shared" ref="K13:K27" si="1">1/POWER((1+$C$16),F13)</f>
        <v>0.970873786407767</v>
      </c>
      <c r="L13" s="34">
        <f>G13*K13</f>
        <v>9.7592132577422959</v>
      </c>
    </row>
    <row r="14" spans="2:14" ht="15" thickBot="1">
      <c r="B14" s="33"/>
      <c r="C14" s="33"/>
      <c r="D14" s="18"/>
      <c r="E14" s="102">
        <v>2020</v>
      </c>
      <c r="F14" s="102">
        <v>2</v>
      </c>
      <c r="G14" s="103">
        <f t="shared" si="0"/>
        <v>10.051989655474564</v>
      </c>
      <c r="H14" s="103">
        <f t="shared" ref="H14:H22" si="2">$C$16*J13</f>
        <v>3.4064403103357628</v>
      </c>
      <c r="I14" s="103">
        <f t="shared" ref="I14:I27" si="3">G14-H14</f>
        <v>6.6455493451388019</v>
      </c>
      <c r="J14" s="104">
        <f>J13-I14</f>
        <v>106.90246099938663</v>
      </c>
      <c r="K14" s="103">
        <f t="shared" si="1"/>
        <v>0.94259590913375435</v>
      </c>
      <c r="L14" s="103">
        <f t="shared" ref="L14:L27" si="4">G14*K14</f>
        <v>9.4749643279051412</v>
      </c>
    </row>
    <row r="15" spans="2:14">
      <c r="B15" s="33" t="s">
        <v>50</v>
      </c>
      <c r="C15" s="33">
        <v>120</v>
      </c>
      <c r="D15" s="18"/>
      <c r="E15" s="18">
        <v>2021</v>
      </c>
      <c r="F15" s="33">
        <v>3</v>
      </c>
      <c r="G15" s="34">
        <f t="shared" si="0"/>
        <v>10.051989655474564</v>
      </c>
      <c r="H15" s="34">
        <f t="shared" si="2"/>
        <v>3.2070738299815988</v>
      </c>
      <c r="I15" s="34">
        <f t="shared" si="3"/>
        <v>6.844915825492965</v>
      </c>
      <c r="J15" s="34">
        <f t="shared" ref="J15:J27" si="5">J14-I15</f>
        <v>100.05754517389367</v>
      </c>
      <c r="K15" s="34">
        <f t="shared" si="1"/>
        <v>0.91514165935315961</v>
      </c>
      <c r="L15" s="34">
        <f t="shared" si="4"/>
        <v>9.1989944931117886</v>
      </c>
    </row>
    <row r="16" spans="2:14">
      <c r="B16" s="33" t="s">
        <v>51</v>
      </c>
      <c r="C16" s="84">
        <v>0.03</v>
      </c>
      <c r="D16" s="18"/>
      <c r="E16" s="18">
        <v>2022</v>
      </c>
      <c r="F16" s="33">
        <v>4</v>
      </c>
      <c r="G16" s="34">
        <f t="shared" si="0"/>
        <v>10.051989655474564</v>
      </c>
      <c r="H16" s="34">
        <f t="shared" si="2"/>
        <v>3.0017263552168099</v>
      </c>
      <c r="I16" s="34">
        <f t="shared" si="3"/>
        <v>7.0502633002577539</v>
      </c>
      <c r="J16" s="34">
        <f t="shared" si="5"/>
        <v>93.007281873635918</v>
      </c>
      <c r="K16" s="34">
        <f t="shared" si="1"/>
        <v>0.888487047915689</v>
      </c>
      <c r="L16" s="34">
        <f t="shared" si="4"/>
        <v>8.9310626146716388</v>
      </c>
    </row>
    <row r="17" spans="2:12">
      <c r="B17" s="33" t="s">
        <v>52</v>
      </c>
      <c r="C17" s="33">
        <v>15</v>
      </c>
      <c r="D17" s="18"/>
      <c r="E17" s="18"/>
      <c r="F17" s="33">
        <v>5</v>
      </c>
      <c r="G17" s="34">
        <f t="shared" si="0"/>
        <v>10.051989655474564</v>
      </c>
      <c r="H17" s="34">
        <f t="shared" si="2"/>
        <v>2.7902184562090775</v>
      </c>
      <c r="I17" s="34">
        <f t="shared" si="3"/>
        <v>7.2617711992654872</v>
      </c>
      <c r="J17" s="34">
        <f t="shared" si="5"/>
        <v>85.745510674370436</v>
      </c>
      <c r="K17" s="34">
        <f t="shared" si="1"/>
        <v>0.86260878438416411</v>
      </c>
      <c r="L17" s="34">
        <f t="shared" si="4"/>
        <v>8.6709345773511064</v>
      </c>
    </row>
    <row r="18" spans="2:12">
      <c r="B18" s="33" t="s">
        <v>53</v>
      </c>
      <c r="C18" s="33">
        <v>1</v>
      </c>
      <c r="D18" s="18"/>
      <c r="E18" s="18"/>
      <c r="F18" s="33">
        <v>6</v>
      </c>
      <c r="G18" s="34">
        <f t="shared" si="0"/>
        <v>10.051989655474564</v>
      </c>
      <c r="H18" s="34">
        <f t="shared" si="2"/>
        <v>2.5723653202311132</v>
      </c>
      <c r="I18" s="34">
        <f t="shared" si="3"/>
        <v>7.479624335243451</v>
      </c>
      <c r="J18" s="34">
        <f t="shared" si="5"/>
        <v>78.265886339126979</v>
      </c>
      <c r="K18" s="34">
        <f t="shared" si="1"/>
        <v>0.83748425668365445</v>
      </c>
      <c r="L18" s="34">
        <f t="shared" si="4"/>
        <v>8.4183830848068997</v>
      </c>
    </row>
    <row r="19" spans="2:12">
      <c r="B19" s="33" t="s">
        <v>54</v>
      </c>
      <c r="C19" s="81">
        <f>-PMT(C16,C17,C15)</f>
        <v>10.051989655474564</v>
      </c>
      <c r="D19" s="18"/>
      <c r="E19" s="18"/>
      <c r="F19" s="33">
        <v>7</v>
      </c>
      <c r="G19" s="34">
        <f t="shared" si="0"/>
        <v>10.051989655474564</v>
      </c>
      <c r="H19" s="34">
        <f t="shared" si="2"/>
        <v>2.3479765901738094</v>
      </c>
      <c r="I19" s="34">
        <f t="shared" si="3"/>
        <v>7.7040130653007548</v>
      </c>
      <c r="J19" s="34">
        <f t="shared" si="5"/>
        <v>70.561873273826222</v>
      </c>
      <c r="K19" s="34">
        <f t="shared" si="1"/>
        <v>0.81309151134335378</v>
      </c>
      <c r="L19" s="34">
        <f t="shared" si="4"/>
        <v>8.1731874609775712</v>
      </c>
    </row>
    <row r="20" spans="2:12">
      <c r="B20" s="18"/>
      <c r="C20" s="18"/>
      <c r="D20" s="33"/>
      <c r="E20" s="33"/>
      <c r="F20" s="33">
        <v>8</v>
      </c>
      <c r="G20" s="34">
        <f t="shared" si="0"/>
        <v>10.051989655474564</v>
      </c>
      <c r="H20" s="34">
        <f t="shared" si="2"/>
        <v>2.1168561982147867</v>
      </c>
      <c r="I20" s="34">
        <f t="shared" si="3"/>
        <v>7.9351334572597771</v>
      </c>
      <c r="J20" s="34">
        <f t="shared" si="5"/>
        <v>62.626739816566442</v>
      </c>
      <c r="K20" s="34">
        <f t="shared" si="1"/>
        <v>0.78940923431393573</v>
      </c>
      <c r="L20" s="34">
        <f t="shared" si="4"/>
        <v>7.935133457259778</v>
      </c>
    </row>
    <row r="21" spans="2:12">
      <c r="B21" s="82"/>
      <c r="C21" s="82"/>
      <c r="D21" s="32"/>
      <c r="E21" s="32"/>
      <c r="F21" s="33">
        <v>9</v>
      </c>
      <c r="G21" s="34">
        <f t="shared" si="0"/>
        <v>10.051989655474564</v>
      </c>
      <c r="H21" s="34">
        <f t="shared" si="2"/>
        <v>1.8788021944969933</v>
      </c>
      <c r="I21" s="34">
        <f t="shared" si="3"/>
        <v>8.1731874609775712</v>
      </c>
      <c r="J21" s="34">
        <f t="shared" si="5"/>
        <v>54.453552355588869</v>
      </c>
      <c r="K21" s="34">
        <f t="shared" si="1"/>
        <v>0.76641673234362695</v>
      </c>
      <c r="L21" s="34">
        <f t="shared" si="4"/>
        <v>7.7040130653007557</v>
      </c>
    </row>
    <row r="22" spans="2:12">
      <c r="B22" s="18"/>
      <c r="C22" s="18"/>
      <c r="D22" s="33"/>
      <c r="E22" s="33"/>
      <c r="F22" s="33">
        <v>10</v>
      </c>
      <c r="G22" s="34">
        <f t="shared" si="0"/>
        <v>10.051989655474564</v>
      </c>
      <c r="H22" s="34">
        <f t="shared" si="2"/>
        <v>1.6336065706676659</v>
      </c>
      <c r="I22" s="34">
        <f t="shared" si="3"/>
        <v>8.4183830848068979</v>
      </c>
      <c r="J22" s="34">
        <f t="shared" si="5"/>
        <v>46.035169270781971</v>
      </c>
      <c r="K22" s="34">
        <f t="shared" si="1"/>
        <v>0.74409391489672516</v>
      </c>
      <c r="L22" s="34">
        <f t="shared" si="4"/>
        <v>7.4796243352434519</v>
      </c>
    </row>
    <row r="23" spans="2:12">
      <c r="B23" s="18"/>
      <c r="C23" s="18"/>
      <c r="D23" s="33"/>
      <c r="E23" s="33"/>
      <c r="F23" s="33">
        <v>11</v>
      </c>
      <c r="G23" s="34">
        <f t="shared" ref="G23:G27" si="6">$C$19</f>
        <v>10.051989655474564</v>
      </c>
      <c r="H23" s="34">
        <f t="shared" ref="H23:H27" si="7">$C$16*J22</f>
        <v>1.3810550781234592</v>
      </c>
      <c r="I23" s="34">
        <f t="shared" si="3"/>
        <v>8.6709345773511046</v>
      </c>
      <c r="J23" s="34">
        <f t="shared" si="5"/>
        <v>37.364234693430866</v>
      </c>
      <c r="K23" s="34">
        <f t="shared" si="1"/>
        <v>0.72242127659876232</v>
      </c>
      <c r="L23" s="34">
        <f t="shared" si="4"/>
        <v>7.2617711992654881</v>
      </c>
    </row>
    <row r="24" spans="2:12">
      <c r="B24" s="18"/>
      <c r="C24" s="18"/>
      <c r="D24" s="33"/>
      <c r="E24" s="33"/>
      <c r="F24" s="33">
        <v>12</v>
      </c>
      <c r="G24" s="34">
        <f t="shared" si="6"/>
        <v>10.051989655474564</v>
      </c>
      <c r="H24" s="34">
        <f t="shared" si="7"/>
        <v>1.1209270408029259</v>
      </c>
      <c r="I24" s="34">
        <f t="shared" si="3"/>
        <v>8.9310626146716388</v>
      </c>
      <c r="J24" s="34">
        <f t="shared" si="5"/>
        <v>28.433172078759227</v>
      </c>
      <c r="K24" s="34">
        <f t="shared" si="1"/>
        <v>0.70137988019297326</v>
      </c>
      <c r="L24" s="34">
        <f t="shared" si="4"/>
        <v>7.0502633002577566</v>
      </c>
    </row>
    <row r="25" spans="2:12">
      <c r="B25" s="18"/>
      <c r="C25" s="18"/>
      <c r="D25" s="33"/>
      <c r="E25" s="33"/>
      <c r="F25" s="33">
        <v>13</v>
      </c>
      <c r="G25" s="34">
        <f t="shared" si="6"/>
        <v>10.051989655474564</v>
      </c>
      <c r="H25" s="34">
        <f t="shared" si="7"/>
        <v>0.85299516236277684</v>
      </c>
      <c r="I25" s="34">
        <f t="shared" si="3"/>
        <v>9.1989944931117869</v>
      </c>
      <c r="J25" s="34">
        <f t="shared" si="5"/>
        <v>19.234177585647441</v>
      </c>
      <c r="K25" s="34">
        <f t="shared" si="1"/>
        <v>0.68095133999317792</v>
      </c>
      <c r="L25" s="34">
        <f t="shared" si="4"/>
        <v>6.8449158254929676</v>
      </c>
    </row>
    <row r="26" spans="2:12">
      <c r="B26" s="18"/>
      <c r="C26" s="18"/>
      <c r="D26" s="33"/>
      <c r="E26" s="33"/>
      <c r="F26" s="33">
        <v>14</v>
      </c>
      <c r="G26" s="34">
        <f t="shared" si="6"/>
        <v>10.051989655474564</v>
      </c>
      <c r="H26" s="34">
        <f t="shared" si="7"/>
        <v>0.57702532756942315</v>
      </c>
      <c r="I26" s="34">
        <f t="shared" si="3"/>
        <v>9.4749643279051412</v>
      </c>
      <c r="J26" s="34">
        <f t="shared" si="5"/>
        <v>9.7592132577422994</v>
      </c>
      <c r="K26" s="34">
        <f t="shared" si="1"/>
        <v>0.66111780581861923</v>
      </c>
      <c r="L26" s="34">
        <f t="shared" si="4"/>
        <v>6.6455493451388019</v>
      </c>
    </row>
    <row r="27" spans="2:12">
      <c r="B27" s="18"/>
      <c r="C27" s="18"/>
      <c r="D27" s="33"/>
      <c r="E27" s="33"/>
      <c r="F27" s="33">
        <v>15</v>
      </c>
      <c r="G27" s="34">
        <f t="shared" si="6"/>
        <v>10.051989655474564</v>
      </c>
      <c r="H27" s="34">
        <f t="shared" si="7"/>
        <v>0.29277639773226899</v>
      </c>
      <c r="I27" s="34">
        <f t="shared" si="3"/>
        <v>9.7592132577422959</v>
      </c>
      <c r="J27" s="34">
        <f t="shared" si="5"/>
        <v>0</v>
      </c>
      <c r="K27" s="34">
        <f t="shared" si="1"/>
        <v>0.64186194739671765</v>
      </c>
      <c r="L27" s="34">
        <f t="shared" si="4"/>
        <v>6.4519896554745646</v>
      </c>
    </row>
    <row r="28" spans="2:12">
      <c r="B28" s="18"/>
      <c r="C28" s="18"/>
      <c r="D28" s="33"/>
      <c r="E28" s="33"/>
      <c r="F28" s="18"/>
      <c r="G28" s="34">
        <f>SUM(G13:G27)</f>
        <v>150.77984483211841</v>
      </c>
      <c r="H28" s="34">
        <f>SUM(H13:H27)</f>
        <v>30.779844832118474</v>
      </c>
      <c r="I28" s="34">
        <f>SUM(I13:I27)</f>
        <v>119.99999999999997</v>
      </c>
      <c r="J28" s="34"/>
      <c r="K28" s="34"/>
      <c r="L28" s="34">
        <f>SUM(L13:L27)</f>
        <v>120</v>
      </c>
    </row>
    <row r="29" spans="2:12">
      <c r="B29" s="41"/>
      <c r="C29" s="41"/>
      <c r="D29" s="83"/>
      <c r="E29" s="83"/>
    </row>
    <row r="30" spans="2:12">
      <c r="B30" s="41"/>
      <c r="C30" s="41"/>
      <c r="D30" s="83"/>
      <c r="E30" s="83"/>
    </row>
    <row r="31" spans="2:12" ht="43.2">
      <c r="B31" s="46" t="s">
        <v>131</v>
      </c>
      <c r="C31" s="33"/>
      <c r="D31" s="18"/>
      <c r="E31" s="18" t="s">
        <v>146</v>
      </c>
      <c r="F31" s="80" t="s">
        <v>119</v>
      </c>
      <c r="G31" s="32" t="s">
        <v>137</v>
      </c>
      <c r="H31" s="32" t="s">
        <v>49</v>
      </c>
      <c r="I31" s="32" t="s">
        <v>138</v>
      </c>
      <c r="J31" s="32" t="s">
        <v>139</v>
      </c>
      <c r="K31" s="32" t="s">
        <v>140</v>
      </c>
      <c r="L31" s="32" t="s">
        <v>141</v>
      </c>
    </row>
    <row r="32" spans="2:12">
      <c r="B32" s="33" t="s">
        <v>11</v>
      </c>
      <c r="C32" s="33"/>
      <c r="D32" s="24"/>
      <c r="E32" s="105" t="s">
        <v>160</v>
      </c>
      <c r="F32" s="18">
        <v>1</v>
      </c>
      <c r="G32" s="34">
        <f t="shared" ref="G32:G63" si="8">$C$39</f>
        <v>1.4140485255594686</v>
      </c>
      <c r="H32" s="78">
        <f>C36*C34</f>
        <v>0.3125</v>
      </c>
      <c r="I32" s="34">
        <f>G32-H32</f>
        <v>1.1015485255594686</v>
      </c>
      <c r="J32" s="34">
        <f>$C$34-I32</f>
        <v>148.89845147444052</v>
      </c>
      <c r="K32" s="78">
        <f t="shared" ref="K32:K63" si="9">1/POWER((1+$C$36),F32)</f>
        <v>0.99792099792099787</v>
      </c>
      <c r="L32" s="34">
        <f>G32*K32</f>
        <v>1.4111087157350206</v>
      </c>
    </row>
    <row r="33" spans="2:12">
      <c r="B33" s="33"/>
      <c r="C33" s="33"/>
      <c r="D33" s="24"/>
      <c r="E33" s="105"/>
      <c r="F33" s="18">
        <v>2</v>
      </c>
      <c r="G33" s="34">
        <f t="shared" si="8"/>
        <v>1.4140485255594686</v>
      </c>
      <c r="H33" s="78">
        <f t="shared" ref="H33:H64" si="10">$C$36*J32</f>
        <v>0.31020510723841777</v>
      </c>
      <c r="I33" s="34">
        <f t="shared" ref="I33:I41" si="11">G33-H33</f>
        <v>1.1038434183210508</v>
      </c>
      <c r="J33" s="34">
        <f>J32-I33</f>
        <v>147.79460805611947</v>
      </c>
      <c r="K33" s="78">
        <f t="shared" si="9"/>
        <v>0.99584631809164004</v>
      </c>
      <c r="L33" s="34">
        <f t="shared" ref="L33:L41" si="12">G33*K33</f>
        <v>1.408175017781309</v>
      </c>
    </row>
    <row r="34" spans="2:12">
      <c r="B34" s="33" t="s">
        <v>50</v>
      </c>
      <c r="C34" s="33">
        <v>150</v>
      </c>
      <c r="D34" s="24"/>
      <c r="E34" s="105"/>
      <c r="F34" s="18">
        <v>3</v>
      </c>
      <c r="G34" s="34">
        <f t="shared" si="8"/>
        <v>1.4140485255594686</v>
      </c>
      <c r="H34" s="78">
        <f t="shared" si="10"/>
        <v>0.3079054334502489</v>
      </c>
      <c r="I34" s="34">
        <f t="shared" si="11"/>
        <v>1.1061430921092197</v>
      </c>
      <c r="J34" s="34">
        <f t="shared" ref="J34:J98" si="13">J33-I34</f>
        <v>146.68846496401025</v>
      </c>
      <c r="K34" s="78">
        <f t="shared" si="9"/>
        <v>0.99377595152596088</v>
      </c>
      <c r="L34" s="34">
        <f t="shared" si="12"/>
        <v>1.405247418991743</v>
      </c>
    </row>
    <row r="35" spans="2:12">
      <c r="B35" s="33" t="s">
        <v>145</v>
      </c>
      <c r="C35" s="84">
        <v>2.5000000000000001E-2</v>
      </c>
      <c r="E35" s="105"/>
      <c r="F35" s="18">
        <v>4</v>
      </c>
      <c r="G35" s="34">
        <f t="shared" si="8"/>
        <v>1.4140485255594686</v>
      </c>
      <c r="H35" s="78">
        <f t="shared" si="10"/>
        <v>0.30560096867502134</v>
      </c>
      <c r="I35" s="34">
        <f t="shared" si="11"/>
        <v>1.1084475568844472</v>
      </c>
      <c r="J35" s="34">
        <f t="shared" si="13"/>
        <v>145.58001740712581</v>
      </c>
      <c r="K35" s="78">
        <f t="shared" si="9"/>
        <v>0.99170988925667602</v>
      </c>
      <c r="L35" s="34">
        <f t="shared" si="12"/>
        <v>1.4023259066861467</v>
      </c>
    </row>
    <row r="36" spans="2:12">
      <c r="B36" s="33" t="s">
        <v>144</v>
      </c>
      <c r="C36" s="85">
        <f>0.025/12</f>
        <v>2.0833333333333333E-3</v>
      </c>
      <c r="D36" s="24"/>
      <c r="E36" s="105"/>
      <c r="F36" s="18">
        <v>5</v>
      </c>
      <c r="G36" s="34">
        <f t="shared" si="8"/>
        <v>1.4140485255594686</v>
      </c>
      <c r="H36" s="78">
        <f t="shared" si="10"/>
        <v>0.30329170293151209</v>
      </c>
      <c r="I36" s="34">
        <f t="shared" si="11"/>
        <v>1.1107568226279565</v>
      </c>
      <c r="J36" s="34">
        <f t="shared" si="13"/>
        <v>144.46926058449785</v>
      </c>
      <c r="K36" s="78">
        <f t="shared" si="9"/>
        <v>0.98964812233514443</v>
      </c>
      <c r="L36" s="34">
        <f t="shared" si="12"/>
        <v>1.3994104682107076</v>
      </c>
    </row>
    <row r="37" spans="2:12">
      <c r="B37" s="33" t="s">
        <v>143</v>
      </c>
      <c r="C37" s="33">
        <f>10*12</f>
        <v>120</v>
      </c>
      <c r="D37" s="24"/>
      <c r="E37" s="105"/>
      <c r="F37" s="18">
        <v>6</v>
      </c>
      <c r="G37" s="34">
        <f t="shared" si="8"/>
        <v>1.4140485255594686</v>
      </c>
      <c r="H37" s="78">
        <f t="shared" si="10"/>
        <v>0.30097762621770385</v>
      </c>
      <c r="I37" s="34">
        <f t="shared" si="11"/>
        <v>1.1130708993417646</v>
      </c>
      <c r="J37" s="34">
        <f t="shared" si="13"/>
        <v>143.35618968515607</v>
      </c>
      <c r="K37" s="78">
        <f t="shared" si="9"/>
        <v>0.98759064183132905</v>
      </c>
      <c r="L37" s="34">
        <f t="shared" si="12"/>
        <v>1.3965010909379201</v>
      </c>
    </row>
    <row r="38" spans="2:12">
      <c r="B38" s="33" t="s">
        <v>53</v>
      </c>
      <c r="C38" s="33">
        <v>12</v>
      </c>
      <c r="D38" s="24"/>
      <c r="E38" s="105"/>
      <c r="F38" s="18">
        <v>7</v>
      </c>
      <c r="G38" s="34">
        <f t="shared" si="8"/>
        <v>1.4140485255594686</v>
      </c>
      <c r="H38" s="78">
        <f t="shared" si="10"/>
        <v>0.29865872851074182</v>
      </c>
      <c r="I38" s="34">
        <f t="shared" si="11"/>
        <v>1.1153897970487268</v>
      </c>
      <c r="J38" s="34">
        <f t="shared" si="13"/>
        <v>142.24079988810735</v>
      </c>
      <c r="K38" s="78">
        <f t="shared" si="9"/>
        <v>0.98553743883375855</v>
      </c>
      <c r="L38" s="34">
        <f t="shared" si="12"/>
        <v>1.3935977622665312</v>
      </c>
    </row>
    <row r="39" spans="2:12">
      <c r="B39" s="33" t="s">
        <v>54</v>
      </c>
      <c r="C39" s="81">
        <f>-PMT(C36,C37,C34)</f>
        <v>1.4140485255594686</v>
      </c>
      <c r="D39" s="79"/>
      <c r="E39" s="105"/>
      <c r="F39" s="18">
        <v>8</v>
      </c>
      <c r="G39" s="34">
        <f t="shared" si="8"/>
        <v>1.4140485255594686</v>
      </c>
      <c r="H39" s="78">
        <f t="shared" si="10"/>
        <v>0.29633499976689032</v>
      </c>
      <c r="I39" s="34">
        <f t="shared" si="11"/>
        <v>1.1177135257925783</v>
      </c>
      <c r="J39" s="34">
        <f t="shared" si="13"/>
        <v>141.12308636231478</v>
      </c>
      <c r="K39" s="78">
        <f t="shared" si="9"/>
        <v>0.98348850444948854</v>
      </c>
      <c r="L39" s="34">
        <f t="shared" si="12"/>
        <v>1.3907004696214862</v>
      </c>
    </row>
    <row r="40" spans="2:12">
      <c r="B40" s="82"/>
      <c r="C40" s="82"/>
      <c r="D40" s="32"/>
      <c r="E40" s="106"/>
      <c r="F40" s="33">
        <v>9</v>
      </c>
      <c r="G40" s="34">
        <f t="shared" si="8"/>
        <v>1.4140485255594686</v>
      </c>
      <c r="H40" s="78">
        <f t="shared" si="10"/>
        <v>0.29400642992148912</v>
      </c>
      <c r="I40" s="34">
        <f t="shared" si="11"/>
        <v>1.1200420956379795</v>
      </c>
      <c r="J40" s="34">
        <f t="shared" si="13"/>
        <v>140.0030442666768</v>
      </c>
      <c r="K40" s="78">
        <f t="shared" si="9"/>
        <v>0.98144382980406342</v>
      </c>
      <c r="L40" s="34">
        <f t="shared" si="12"/>
        <v>1.3878092004538738</v>
      </c>
    </row>
    <row r="41" spans="2:12">
      <c r="B41" s="18"/>
      <c r="C41" s="18"/>
      <c r="D41" s="33"/>
      <c r="E41" s="106"/>
      <c r="F41" s="33">
        <v>10</v>
      </c>
      <c r="G41" s="34">
        <f t="shared" si="8"/>
        <v>1.4140485255594686</v>
      </c>
      <c r="H41" s="78">
        <f t="shared" si="10"/>
        <v>0.29167300888891001</v>
      </c>
      <c r="I41" s="34">
        <f t="shared" si="11"/>
        <v>1.1223755166705587</v>
      </c>
      <c r="J41" s="34">
        <f t="shared" si="13"/>
        <v>138.88066875000624</v>
      </c>
      <c r="K41" s="78">
        <f t="shared" si="9"/>
        <v>0.9794034060414768</v>
      </c>
      <c r="L41" s="34">
        <f t="shared" si="12"/>
        <v>1.3849239422408719</v>
      </c>
    </row>
    <row r="42" spans="2:12" ht="15" thickBot="1">
      <c r="B42" s="18"/>
      <c r="C42" s="18"/>
      <c r="D42" s="33"/>
      <c r="E42" s="106"/>
      <c r="F42" s="33">
        <v>11</v>
      </c>
      <c r="G42" s="34">
        <f t="shared" si="8"/>
        <v>1.4140485255594686</v>
      </c>
      <c r="H42" s="78">
        <f t="shared" si="10"/>
        <v>0.28933472656251297</v>
      </c>
      <c r="I42" s="34">
        <f t="shared" ref="I42:I106" si="14">G42-H42</f>
        <v>1.1247137989969556</v>
      </c>
      <c r="J42" s="34">
        <f t="shared" si="13"/>
        <v>137.75595495100927</v>
      </c>
      <c r="K42" s="78">
        <f t="shared" si="9"/>
        <v>0.9773672243241347</v>
      </c>
      <c r="L42" s="34">
        <f t="shared" ref="L42:L106" si="15">G42*K42</f>
        <v>1.3820446824856931</v>
      </c>
    </row>
    <row r="43" spans="2:12" ht="15" thickBot="1">
      <c r="B43" s="18"/>
      <c r="C43" s="18"/>
      <c r="D43" s="33"/>
      <c r="E43" s="107"/>
      <c r="F43" s="33">
        <v>12</v>
      </c>
      <c r="G43" s="34">
        <f t="shared" si="8"/>
        <v>1.4140485255594686</v>
      </c>
      <c r="H43" s="78">
        <f t="shared" si="10"/>
        <v>0.28699157281460264</v>
      </c>
      <c r="I43" s="34">
        <f t="shared" si="14"/>
        <v>1.1270569527448659</v>
      </c>
      <c r="J43" s="169">
        <f t="shared" si="13"/>
        <v>136.62889799826439</v>
      </c>
      <c r="K43" s="78">
        <f t="shared" si="9"/>
        <v>0.97533527583281621</v>
      </c>
      <c r="L43" s="34">
        <f t="shared" si="15"/>
        <v>1.3791714087175313</v>
      </c>
    </row>
    <row r="44" spans="2:12">
      <c r="B44" s="18"/>
      <c r="C44" s="18"/>
      <c r="D44" s="33"/>
      <c r="E44" s="106" t="s">
        <v>161</v>
      </c>
      <c r="F44" s="18">
        <v>13</v>
      </c>
      <c r="G44" s="34">
        <f t="shared" si="8"/>
        <v>1.4140485255594686</v>
      </c>
      <c r="H44" s="78">
        <f t="shared" si="10"/>
        <v>0.28464353749638416</v>
      </c>
      <c r="I44" s="91">
        <f t="shared" si="14"/>
        <v>1.1294049880630843</v>
      </c>
      <c r="J44" s="94">
        <f t="shared" si="13"/>
        <v>135.49949301020132</v>
      </c>
      <c r="K44" s="95">
        <f t="shared" si="9"/>
        <v>0.97330755176663564</v>
      </c>
      <c r="L44" s="34">
        <f t="shared" si="15"/>
        <v>1.3763041084915073</v>
      </c>
    </row>
    <row r="45" spans="2:12">
      <c r="B45" s="18"/>
      <c r="C45" s="18"/>
      <c r="D45" s="33"/>
      <c r="E45" s="106"/>
      <c r="F45" s="18">
        <v>14</v>
      </c>
      <c r="G45" s="34">
        <f t="shared" si="8"/>
        <v>1.4140485255594686</v>
      </c>
      <c r="H45" s="78">
        <f t="shared" si="10"/>
        <v>0.28229061043791942</v>
      </c>
      <c r="I45" s="34">
        <f t="shared" si="14"/>
        <v>1.1317579151215491</v>
      </c>
      <c r="J45" s="94">
        <f t="shared" si="13"/>
        <v>134.36773509507978</v>
      </c>
      <c r="K45" s="78">
        <f t="shared" si="9"/>
        <v>0.97128404334300422</v>
      </c>
      <c r="L45" s="34">
        <f t="shared" si="15"/>
        <v>1.3734427693886142</v>
      </c>
    </row>
    <row r="46" spans="2:12">
      <c r="B46" s="18"/>
      <c r="C46" s="18"/>
      <c r="D46" s="33"/>
      <c r="E46" s="106"/>
      <c r="F46" s="18">
        <v>15</v>
      </c>
      <c r="G46" s="34">
        <f t="shared" si="8"/>
        <v>1.4140485255594686</v>
      </c>
      <c r="H46" s="78">
        <f t="shared" si="10"/>
        <v>0.27993278144808287</v>
      </c>
      <c r="I46" s="34">
        <f t="shared" si="14"/>
        <v>1.1341157441113858</v>
      </c>
      <c r="J46" s="34">
        <f t="shared" si="13"/>
        <v>133.23361935096838</v>
      </c>
      <c r="K46" s="78">
        <f t="shared" si="9"/>
        <v>0.96926474179759259</v>
      </c>
      <c r="L46" s="34">
        <f t="shared" si="15"/>
        <v>1.3705873790156649</v>
      </c>
    </row>
    <row r="47" spans="2:12">
      <c r="B47" s="18"/>
      <c r="C47" s="18"/>
      <c r="D47" s="33"/>
      <c r="E47" s="106"/>
      <c r="F47" s="18">
        <v>16</v>
      </c>
      <c r="G47" s="34">
        <f t="shared" si="8"/>
        <v>1.4140485255594686</v>
      </c>
      <c r="H47" s="78">
        <f t="shared" si="10"/>
        <v>0.27757004031451749</v>
      </c>
      <c r="I47" s="34">
        <f t="shared" si="14"/>
        <v>1.1364784852449512</v>
      </c>
      <c r="J47" s="34">
        <f t="shared" si="13"/>
        <v>132.09714086572342</v>
      </c>
      <c r="K47" s="78">
        <f t="shared" si="9"/>
        <v>0.96724963838429168</v>
      </c>
      <c r="L47" s="34">
        <f t="shared" si="15"/>
        <v>1.3677379250052368</v>
      </c>
    </row>
    <row r="48" spans="2:12">
      <c r="B48" s="18"/>
      <c r="C48" s="18"/>
      <c r="D48" s="18"/>
      <c r="E48" s="106"/>
      <c r="F48" s="18">
        <v>17</v>
      </c>
      <c r="G48" s="34">
        <f t="shared" si="8"/>
        <v>1.4140485255594686</v>
      </c>
      <c r="H48" s="78">
        <f t="shared" si="10"/>
        <v>0.27520237680359044</v>
      </c>
      <c r="I48" s="34">
        <f t="shared" si="14"/>
        <v>1.1388461487558781</v>
      </c>
      <c r="J48" s="34">
        <f t="shared" si="13"/>
        <v>130.95829471696754</v>
      </c>
      <c r="K48" s="78">
        <f t="shared" si="9"/>
        <v>0.96523872437517655</v>
      </c>
      <c r="L48" s="34">
        <f t="shared" si="15"/>
        <v>1.3648943950156207</v>
      </c>
    </row>
    <row r="49" spans="2:12">
      <c r="B49" s="18"/>
      <c r="C49" s="18"/>
      <c r="D49" s="18"/>
      <c r="E49" s="106"/>
      <c r="F49" s="18">
        <v>18</v>
      </c>
      <c r="G49" s="34">
        <f t="shared" si="8"/>
        <v>1.4140485255594686</v>
      </c>
      <c r="H49" s="78">
        <f t="shared" si="10"/>
        <v>0.27282978066034902</v>
      </c>
      <c r="I49" s="34">
        <f t="shared" si="14"/>
        <v>1.1412187448991196</v>
      </c>
      <c r="J49" s="34">
        <f t="shared" si="13"/>
        <v>129.81707597206844</v>
      </c>
      <c r="K49" s="78">
        <f t="shared" si="9"/>
        <v>0.96323199106046709</v>
      </c>
      <c r="L49" s="34">
        <f t="shared" si="15"/>
        <v>1.3620567767307648</v>
      </c>
    </row>
    <row r="50" spans="2:12">
      <c r="B50" s="18"/>
      <c r="C50" s="18"/>
      <c r="D50" s="18"/>
      <c r="E50" s="106"/>
      <c r="F50" s="18">
        <v>19</v>
      </c>
      <c r="G50" s="34">
        <f t="shared" si="8"/>
        <v>1.4140485255594686</v>
      </c>
      <c r="H50" s="78">
        <f t="shared" si="10"/>
        <v>0.27045224160847592</v>
      </c>
      <c r="I50" s="34">
        <f t="shared" si="14"/>
        <v>1.1435962839509926</v>
      </c>
      <c r="J50" s="34">
        <f t="shared" si="13"/>
        <v>128.67347968811745</v>
      </c>
      <c r="K50" s="78">
        <f t="shared" si="9"/>
        <v>0.96122942974849124</v>
      </c>
      <c r="L50" s="34">
        <f t="shared" si="15"/>
        <v>1.3592250578602227</v>
      </c>
    </row>
    <row r="51" spans="2:12">
      <c r="E51" s="107"/>
      <c r="F51" s="18">
        <v>20</v>
      </c>
      <c r="G51" s="34">
        <f t="shared" si="8"/>
        <v>1.4140485255594686</v>
      </c>
      <c r="H51" s="78">
        <f t="shared" si="10"/>
        <v>0.26806974935024469</v>
      </c>
      <c r="I51" s="34">
        <f t="shared" si="14"/>
        <v>1.1459787762092239</v>
      </c>
      <c r="J51" s="34">
        <f t="shared" si="13"/>
        <v>127.52750091190823</v>
      </c>
      <c r="K51" s="78">
        <f t="shared" si="9"/>
        <v>0.95923103176564595</v>
      </c>
      <c r="L51" s="34">
        <f t="shared" si="15"/>
        <v>1.3563992261390994</v>
      </c>
    </row>
    <row r="52" spans="2:12">
      <c r="E52" s="107"/>
      <c r="F52" s="18">
        <v>21</v>
      </c>
      <c r="G52" s="34">
        <f t="shared" si="8"/>
        <v>1.4140485255594686</v>
      </c>
      <c r="H52" s="78">
        <f t="shared" si="10"/>
        <v>0.26568229356647549</v>
      </c>
      <c r="I52" s="34">
        <f t="shared" si="14"/>
        <v>1.148366231992993</v>
      </c>
      <c r="J52" s="34">
        <f t="shared" si="13"/>
        <v>126.37913467991524</v>
      </c>
      <c r="K52" s="78">
        <f t="shared" si="9"/>
        <v>0.95723678845636162</v>
      </c>
      <c r="L52" s="34">
        <f t="shared" si="15"/>
        <v>1.3535792693279991</v>
      </c>
    </row>
    <row r="53" spans="2:12">
      <c r="E53" s="107"/>
      <c r="F53" s="18">
        <v>22</v>
      </c>
      <c r="G53" s="34">
        <f t="shared" si="8"/>
        <v>1.4140485255594686</v>
      </c>
      <c r="H53" s="78">
        <f t="shared" si="10"/>
        <v>0.26328986391649006</v>
      </c>
      <c r="I53" s="34">
        <f t="shared" si="14"/>
        <v>1.1507586616429786</v>
      </c>
      <c r="J53" s="34">
        <f t="shared" si="13"/>
        <v>125.22837601827226</v>
      </c>
      <c r="K53" s="78">
        <f t="shared" si="9"/>
        <v>0.95524669118306349</v>
      </c>
      <c r="L53" s="34">
        <f t="shared" si="15"/>
        <v>1.3507651752129719</v>
      </c>
    </row>
    <row r="54" spans="2:12">
      <c r="E54" s="107"/>
      <c r="F54" s="18">
        <v>23</v>
      </c>
      <c r="G54" s="34">
        <f t="shared" si="8"/>
        <v>1.4140485255594686</v>
      </c>
      <c r="H54" s="78">
        <f t="shared" si="10"/>
        <v>0.26089245003806721</v>
      </c>
      <c r="I54" s="34">
        <f t="shared" si="14"/>
        <v>1.1531560755214014</v>
      </c>
      <c r="J54" s="34">
        <f t="shared" si="13"/>
        <v>124.07521994275086</v>
      </c>
      <c r="K54" s="78">
        <f t="shared" si="9"/>
        <v>0.95326073132613398</v>
      </c>
      <c r="L54" s="34">
        <f t="shared" si="15"/>
        <v>1.3479569316054605</v>
      </c>
    </row>
    <row r="55" spans="2:12">
      <c r="E55" s="107"/>
      <c r="F55" s="18">
        <v>24</v>
      </c>
      <c r="G55" s="34">
        <f t="shared" si="8"/>
        <v>1.4140485255594686</v>
      </c>
      <c r="H55" s="78">
        <f t="shared" si="10"/>
        <v>0.25849004154739763</v>
      </c>
      <c r="I55" s="34">
        <f t="shared" si="14"/>
        <v>1.155558484012071</v>
      </c>
      <c r="J55" s="34">
        <f t="shared" si="13"/>
        <v>122.91966145873879</v>
      </c>
      <c r="K55" s="78">
        <f t="shared" si="9"/>
        <v>0.95127890028387574</v>
      </c>
      <c r="L55" s="34">
        <f t="shared" si="15"/>
        <v>1.3451545263422473</v>
      </c>
    </row>
    <row r="56" spans="2:12">
      <c r="E56" s="107" t="s">
        <v>162</v>
      </c>
      <c r="F56" s="18">
        <v>25</v>
      </c>
      <c r="G56" s="34">
        <f t="shared" si="8"/>
        <v>1.4140485255594686</v>
      </c>
      <c r="H56" s="126">
        <f t="shared" si="10"/>
        <v>0.25608262803903914</v>
      </c>
      <c r="I56" s="34">
        <f t="shared" si="14"/>
        <v>1.1579658975204294</v>
      </c>
      <c r="J56" s="34">
        <f t="shared" si="13"/>
        <v>121.76169556121836</v>
      </c>
      <c r="K56" s="78">
        <f t="shared" si="9"/>
        <v>0.94930118947247477</v>
      </c>
      <c r="L56" s="34">
        <f t="shared" si="15"/>
        <v>1.3423579472854026</v>
      </c>
    </row>
    <row r="57" spans="2:12">
      <c r="E57" s="107"/>
      <c r="F57" s="18">
        <v>26</v>
      </c>
      <c r="G57" s="34">
        <f t="shared" si="8"/>
        <v>1.4140485255594686</v>
      </c>
      <c r="H57" s="126">
        <f t="shared" si="10"/>
        <v>0.25367019908587157</v>
      </c>
      <c r="I57" s="34">
        <f t="shared" si="14"/>
        <v>1.160378326473597</v>
      </c>
      <c r="J57" s="34">
        <f t="shared" si="13"/>
        <v>120.60131723474477</v>
      </c>
      <c r="K57" s="78">
        <f t="shared" si="9"/>
        <v>0.94732759032596214</v>
      </c>
      <c r="L57" s="34">
        <f t="shared" si="15"/>
        <v>1.339567182322231</v>
      </c>
    </row>
    <row r="58" spans="2:12">
      <c r="E58" s="105"/>
      <c r="F58" s="18">
        <v>27</v>
      </c>
      <c r="G58" s="34">
        <f t="shared" si="8"/>
        <v>1.4140485255594686</v>
      </c>
      <c r="H58" s="126">
        <f t="shared" si="10"/>
        <v>0.25125274423905158</v>
      </c>
      <c r="I58" s="34">
        <f t="shared" si="14"/>
        <v>1.1627957813204171</v>
      </c>
      <c r="J58" s="34">
        <f t="shared" si="13"/>
        <v>119.43852145342436</v>
      </c>
      <c r="K58" s="78">
        <f t="shared" si="9"/>
        <v>0.94535809429617812</v>
      </c>
      <c r="L58" s="34">
        <f t="shared" si="15"/>
        <v>1.3367822193652197</v>
      </c>
    </row>
    <row r="59" spans="2:12">
      <c r="E59" s="18"/>
      <c r="F59" s="18">
        <v>28</v>
      </c>
      <c r="G59" s="34">
        <f t="shared" si="8"/>
        <v>1.4140485255594686</v>
      </c>
      <c r="H59" s="126">
        <f t="shared" si="10"/>
        <v>0.24883025302796741</v>
      </c>
      <c r="I59" s="34">
        <f t="shared" si="14"/>
        <v>1.1652182725315012</v>
      </c>
      <c r="J59" s="34">
        <f t="shared" si="13"/>
        <v>118.27330318089285</v>
      </c>
      <c r="K59" s="78">
        <f t="shared" si="9"/>
        <v>0.94339269285273497</v>
      </c>
      <c r="L59" s="34">
        <f t="shared" si="15"/>
        <v>1.3340030463519865</v>
      </c>
    </row>
    <row r="60" spans="2:12">
      <c r="E60" s="18"/>
      <c r="F60" s="18">
        <v>29</v>
      </c>
      <c r="G60" s="34">
        <f t="shared" si="8"/>
        <v>1.4140485255594686</v>
      </c>
      <c r="H60" s="126">
        <f t="shared" si="10"/>
        <v>0.24640271496019345</v>
      </c>
      <c r="I60" s="34">
        <f t="shared" si="14"/>
        <v>1.1676458105992751</v>
      </c>
      <c r="J60" s="34">
        <f t="shared" si="13"/>
        <v>117.10565737029359</v>
      </c>
      <c r="K60" s="78">
        <f t="shared" si="9"/>
        <v>0.94143137748297856</v>
      </c>
      <c r="L60" s="34">
        <f t="shared" si="15"/>
        <v>1.3312296512452253</v>
      </c>
    </row>
    <row r="61" spans="2:12">
      <c r="E61" s="18"/>
      <c r="F61" s="18">
        <v>30</v>
      </c>
      <c r="G61" s="34">
        <f t="shared" si="8"/>
        <v>1.4140485255594686</v>
      </c>
      <c r="H61" s="126">
        <f t="shared" si="10"/>
        <v>0.24397011952144496</v>
      </c>
      <c r="I61" s="34">
        <f t="shared" si="14"/>
        <v>1.1700784060380236</v>
      </c>
      <c r="J61" s="34">
        <f t="shared" si="13"/>
        <v>115.93557896425555</v>
      </c>
      <c r="K61" s="78">
        <f t="shared" si="9"/>
        <v>0.93947413969195348</v>
      </c>
      <c r="L61" s="34">
        <f t="shared" si="15"/>
        <v>1.3284620220326571</v>
      </c>
    </row>
    <row r="62" spans="2:12">
      <c r="E62" s="18"/>
      <c r="F62" s="18">
        <v>31</v>
      </c>
      <c r="G62" s="34">
        <f t="shared" si="8"/>
        <v>1.4140485255594686</v>
      </c>
      <c r="H62" s="126">
        <f t="shared" si="10"/>
        <v>0.2415324561755324</v>
      </c>
      <c r="I62" s="34">
        <f t="shared" si="14"/>
        <v>1.1725160693839363</v>
      </c>
      <c r="J62" s="34">
        <f t="shared" si="13"/>
        <v>114.76306289487162</v>
      </c>
      <c r="K62" s="78">
        <f t="shared" si="9"/>
        <v>0.93752097100236531</v>
      </c>
      <c r="L62" s="34">
        <f t="shared" si="15"/>
        <v>1.325700146726976</v>
      </c>
    </row>
    <row r="63" spans="2:12">
      <c r="E63" s="18"/>
      <c r="F63" s="18">
        <v>32</v>
      </c>
      <c r="G63" s="34">
        <f t="shared" si="8"/>
        <v>1.4140485255594686</v>
      </c>
      <c r="H63" s="126">
        <f t="shared" si="10"/>
        <v>0.23908971436431589</v>
      </c>
      <c r="I63" s="34">
        <f t="shared" si="14"/>
        <v>1.1749588111951528</v>
      </c>
      <c r="J63" s="34">
        <f t="shared" si="13"/>
        <v>113.58810408367647</v>
      </c>
      <c r="K63" s="78">
        <f t="shared" si="9"/>
        <v>0.93557186295454309</v>
      </c>
      <c r="L63" s="34">
        <f t="shared" si="15"/>
        <v>1.3229440133657968</v>
      </c>
    </row>
    <row r="64" spans="2:12">
      <c r="E64" s="18"/>
      <c r="F64" s="18">
        <v>33</v>
      </c>
      <c r="G64" s="34">
        <f t="shared" ref="G64:G96" si="16">$C$39</f>
        <v>1.4140485255594686</v>
      </c>
      <c r="H64" s="126">
        <f t="shared" si="10"/>
        <v>0.2366418835076593</v>
      </c>
      <c r="I64" s="34">
        <f t="shared" si="14"/>
        <v>1.1774066420518092</v>
      </c>
      <c r="J64" s="34">
        <f t="shared" si="13"/>
        <v>112.41069744162466</v>
      </c>
      <c r="K64" s="78">
        <f t="shared" ref="K64:K96" si="17">1/POWER((1+$C$36),F64)</f>
        <v>0.93362680710640467</v>
      </c>
      <c r="L64" s="34">
        <f t="shared" si="15"/>
        <v>1.3201936100116058</v>
      </c>
    </row>
    <row r="65" spans="5:12">
      <c r="E65" s="18"/>
      <c r="F65" s="18">
        <v>34</v>
      </c>
      <c r="G65" s="34">
        <f t="shared" si="16"/>
        <v>1.4140485255594686</v>
      </c>
      <c r="H65" s="126">
        <f t="shared" ref="H65:H97" si="18">$C$36*J64</f>
        <v>0.23418895300338471</v>
      </c>
      <c r="I65" s="34">
        <f t="shared" si="14"/>
        <v>1.1798595725560839</v>
      </c>
      <c r="J65" s="34">
        <f t="shared" si="13"/>
        <v>111.23083786906858</v>
      </c>
      <c r="K65" s="78">
        <f t="shared" si="17"/>
        <v>0.93168579503341831</v>
      </c>
      <c r="L65" s="34">
        <f t="shared" si="15"/>
        <v>1.3174489247517065</v>
      </c>
    </row>
    <row r="66" spans="5:12">
      <c r="E66" s="18"/>
      <c r="F66" s="18">
        <v>35</v>
      </c>
      <c r="G66" s="34">
        <f t="shared" si="16"/>
        <v>1.4140485255594686</v>
      </c>
      <c r="H66" s="126">
        <f t="shared" si="18"/>
        <v>0.23173091222722619</v>
      </c>
      <c r="I66" s="34">
        <f t="shared" si="14"/>
        <v>1.1823176133322424</v>
      </c>
      <c r="J66" s="34">
        <f t="shared" si="13"/>
        <v>110.04852025573634</v>
      </c>
      <c r="K66" s="78">
        <f t="shared" si="17"/>
        <v>0.92974881832856704</v>
      </c>
      <c r="L66" s="34">
        <f t="shared" si="15"/>
        <v>1.3147099456981683</v>
      </c>
    </row>
    <row r="67" spans="5:12">
      <c r="E67" s="105" t="s">
        <v>163</v>
      </c>
      <c r="F67" s="124">
        <v>36</v>
      </c>
      <c r="G67" s="125">
        <f t="shared" si="16"/>
        <v>1.4140485255594686</v>
      </c>
      <c r="H67" s="126">
        <f t="shared" si="18"/>
        <v>0.22926775053278403</v>
      </c>
      <c r="I67" s="125">
        <f t="shared" si="14"/>
        <v>1.1847807750266846</v>
      </c>
      <c r="J67" s="125">
        <f t="shared" si="13"/>
        <v>108.86373948070965</v>
      </c>
      <c r="K67" s="126">
        <f t="shared" si="17"/>
        <v>0.92781586860231191</v>
      </c>
      <c r="L67" s="125">
        <f t="shared" si="15"/>
        <v>1.3119766609877768</v>
      </c>
    </row>
    <row r="68" spans="5:12" s="41" customFormat="1">
      <c r="E68" s="105"/>
      <c r="F68" s="124"/>
      <c r="G68" s="125"/>
      <c r="H68" s="187">
        <f>SUM(H57:H67)</f>
        <v>2.6565777006454314</v>
      </c>
      <c r="I68" s="125"/>
      <c r="J68" s="125"/>
      <c r="K68" s="126"/>
      <c r="L68" s="125"/>
    </row>
    <row r="69" spans="5:12">
      <c r="E69" s="18"/>
      <c r="F69" s="18">
        <v>37</v>
      </c>
      <c r="G69" s="34">
        <f t="shared" si="16"/>
        <v>1.4140485255594686</v>
      </c>
      <c r="H69" s="78">
        <f>$C$36*J67</f>
        <v>0.22679945725147843</v>
      </c>
      <c r="I69" s="34">
        <f t="shared" si="14"/>
        <v>1.1872490683079902</v>
      </c>
      <c r="J69" s="34">
        <f>J67-I69</f>
        <v>107.67649041240166</v>
      </c>
      <c r="K69" s="78">
        <f t="shared" si="17"/>
        <v>0.92588693748255657</v>
      </c>
      <c r="L69" s="34">
        <f t="shared" si="15"/>
        <v>1.3092490587819809</v>
      </c>
    </row>
    <row r="70" spans="5:12">
      <c r="E70" s="18"/>
      <c r="F70" s="18">
        <v>38</v>
      </c>
      <c r="G70" s="34">
        <f t="shared" si="16"/>
        <v>1.4140485255594686</v>
      </c>
      <c r="H70" s="78">
        <f t="shared" si="18"/>
        <v>0.22432602169250346</v>
      </c>
      <c r="I70" s="34">
        <f t="shared" si="14"/>
        <v>1.1897225038669652</v>
      </c>
      <c r="J70" s="34">
        <f t="shared" si="13"/>
        <v>106.4867679085347</v>
      </c>
      <c r="K70" s="78">
        <f t="shared" si="17"/>
        <v>0.92396201661460942</v>
      </c>
      <c r="L70" s="34">
        <f t="shared" si="15"/>
        <v>1.3065271272668417</v>
      </c>
    </row>
    <row r="71" spans="5:12">
      <c r="E71" s="18"/>
      <c r="F71" s="18">
        <v>39</v>
      </c>
      <c r="G71" s="34">
        <f t="shared" si="16"/>
        <v>1.4140485255594686</v>
      </c>
      <c r="H71" s="78">
        <f t="shared" si="18"/>
        <v>0.22184743314278063</v>
      </c>
      <c r="I71" s="34">
        <f t="shared" si="14"/>
        <v>1.1922010924166879</v>
      </c>
      <c r="J71" s="34">
        <f t="shared" si="13"/>
        <v>105.29456681611802</v>
      </c>
      <c r="K71" s="78">
        <f t="shared" si="17"/>
        <v>0.9220410976611485</v>
      </c>
      <c r="L71" s="34">
        <f t="shared" si="15"/>
        <v>1.303810854652981</v>
      </c>
    </row>
    <row r="72" spans="5:12">
      <c r="E72" s="18"/>
      <c r="F72" s="18">
        <v>40</v>
      </c>
      <c r="G72" s="34">
        <f t="shared" si="16"/>
        <v>1.4140485255594686</v>
      </c>
      <c r="H72" s="78">
        <f t="shared" si="18"/>
        <v>0.21936368086691255</v>
      </c>
      <c r="I72" s="34">
        <f t="shared" si="14"/>
        <v>1.194684844692556</v>
      </c>
      <c r="J72" s="34">
        <f t="shared" si="13"/>
        <v>104.09988197142546</v>
      </c>
      <c r="K72" s="78">
        <f t="shared" si="17"/>
        <v>0.92012417230218546</v>
      </c>
      <c r="L72" s="34">
        <f t="shared" si="15"/>
        <v>1.3011002291755318</v>
      </c>
    </row>
    <row r="73" spans="5:12">
      <c r="E73" s="18"/>
      <c r="F73" s="18">
        <v>41</v>
      </c>
      <c r="G73" s="34">
        <f t="shared" si="16"/>
        <v>1.4140485255594686</v>
      </c>
      <c r="H73" s="78">
        <f t="shared" si="18"/>
        <v>0.21687475410713639</v>
      </c>
      <c r="I73" s="34">
        <f t="shared" si="14"/>
        <v>1.1971737714523323</v>
      </c>
      <c r="J73" s="34">
        <f t="shared" si="13"/>
        <v>102.90270819997313</v>
      </c>
      <c r="K73" s="78">
        <f t="shared" si="17"/>
        <v>0.9182112322350291</v>
      </c>
      <c r="L73" s="34">
        <f t="shared" si="15"/>
        <v>1.2983952390940856</v>
      </c>
    </row>
    <row r="74" spans="5:12">
      <c r="E74" s="18"/>
      <c r="F74" s="18">
        <v>42</v>
      </c>
      <c r="G74" s="34">
        <f t="shared" si="16"/>
        <v>1.4140485255594686</v>
      </c>
      <c r="H74" s="78">
        <f t="shared" si="18"/>
        <v>0.21438064208327737</v>
      </c>
      <c r="I74" s="34">
        <f t="shared" si="14"/>
        <v>1.1996678834761911</v>
      </c>
      <c r="J74" s="34">
        <f t="shared" si="13"/>
        <v>101.70304031649694</v>
      </c>
      <c r="K74" s="78">
        <f t="shared" si="17"/>
        <v>0.91630226917424928</v>
      </c>
      <c r="L74" s="34">
        <f t="shared" si="15"/>
        <v>1.2956958726926424</v>
      </c>
    </row>
    <row r="75" spans="5:12">
      <c r="E75" s="18"/>
      <c r="F75" s="18">
        <v>43</v>
      </c>
      <c r="G75" s="34">
        <f t="shared" si="16"/>
        <v>1.4140485255594686</v>
      </c>
      <c r="H75" s="78">
        <f t="shared" si="18"/>
        <v>0.21188133399270195</v>
      </c>
      <c r="I75" s="34">
        <f t="shared" si="14"/>
        <v>1.2021671915667667</v>
      </c>
      <c r="J75" s="34">
        <f t="shared" si="13"/>
        <v>100.50087312493017</v>
      </c>
      <c r="K75" s="78">
        <f t="shared" si="17"/>
        <v>0.91439727485164157</v>
      </c>
      <c r="L75" s="34">
        <f t="shared" si="15"/>
        <v>1.2930021182795599</v>
      </c>
    </row>
    <row r="76" spans="5:12">
      <c r="E76" s="18"/>
      <c r="F76" s="18">
        <v>44</v>
      </c>
      <c r="G76" s="34">
        <f t="shared" si="16"/>
        <v>1.4140485255594686</v>
      </c>
      <c r="H76" s="78">
        <f t="shared" si="18"/>
        <v>0.20937681901027116</v>
      </c>
      <c r="I76" s="34">
        <f t="shared" si="14"/>
        <v>1.2046717065491974</v>
      </c>
      <c r="J76" s="34">
        <f t="shared" si="13"/>
        <v>99.296201418380974</v>
      </c>
      <c r="K76" s="78">
        <f t="shared" si="17"/>
        <v>0.91249624101619109</v>
      </c>
      <c r="L76" s="34">
        <f t="shared" si="15"/>
        <v>1.2903139641875025</v>
      </c>
    </row>
    <row r="77" spans="5:12">
      <c r="E77" s="18"/>
      <c r="F77" s="18">
        <v>45</v>
      </c>
      <c r="G77" s="34">
        <f t="shared" si="16"/>
        <v>1.4140485255594686</v>
      </c>
      <c r="H77" s="78">
        <f t="shared" si="18"/>
        <v>0.2068670862882937</v>
      </c>
      <c r="I77" s="34">
        <f t="shared" si="14"/>
        <v>1.2071814392711748</v>
      </c>
      <c r="J77" s="34">
        <f t="shared" si="13"/>
        <v>98.089019979109793</v>
      </c>
      <c r="K77" s="78">
        <f t="shared" si="17"/>
        <v>0.91059915943403669</v>
      </c>
      <c r="L77" s="34">
        <f t="shared" si="15"/>
        <v>1.2876313987733909</v>
      </c>
    </row>
    <row r="78" spans="5:12">
      <c r="E78" s="18"/>
      <c r="F78" s="18">
        <v>46</v>
      </c>
      <c r="G78" s="34">
        <f t="shared" si="16"/>
        <v>1.4140485255594686</v>
      </c>
      <c r="H78" s="78">
        <f t="shared" si="18"/>
        <v>0.20435212495647873</v>
      </c>
      <c r="I78" s="34">
        <f t="shared" si="14"/>
        <v>1.2096964006029898</v>
      </c>
      <c r="J78" s="34">
        <f t="shared" si="13"/>
        <v>96.879323578506799</v>
      </c>
      <c r="K78" s="78">
        <f t="shared" si="17"/>
        <v>0.90870602188843574</v>
      </c>
      <c r="L78" s="34">
        <f t="shared" si="15"/>
        <v>1.2849544104183528</v>
      </c>
    </row>
    <row r="79" spans="5:12">
      <c r="E79" s="18"/>
      <c r="F79" s="18">
        <v>47</v>
      </c>
      <c r="G79" s="34">
        <f t="shared" si="16"/>
        <v>1.4140485255594686</v>
      </c>
      <c r="H79" s="78">
        <f t="shared" si="18"/>
        <v>0.20183192412188916</v>
      </c>
      <c r="I79" s="34">
        <f t="shared" si="14"/>
        <v>1.2122166014375795</v>
      </c>
      <c r="J79" s="34">
        <f t="shared" si="13"/>
        <v>95.667106977069224</v>
      </c>
      <c r="K79" s="78">
        <f t="shared" si="17"/>
        <v>0.90681682017972787</v>
      </c>
      <c r="L79" s="34">
        <f t="shared" si="15"/>
        <v>1.28228298752767</v>
      </c>
    </row>
    <row r="80" spans="5:12">
      <c r="E80" s="18"/>
      <c r="F80" s="18">
        <v>48</v>
      </c>
      <c r="G80" s="34">
        <f t="shared" si="16"/>
        <v>1.4140485255594686</v>
      </c>
      <c r="H80" s="78">
        <f t="shared" si="18"/>
        <v>0.19930647286889422</v>
      </c>
      <c r="I80" s="34">
        <f t="shared" si="14"/>
        <v>1.2147420526905743</v>
      </c>
      <c r="J80" s="34">
        <f t="shared" si="13"/>
        <v>94.452364924378656</v>
      </c>
      <c r="K80" s="78">
        <f t="shared" si="17"/>
        <v>0.90493154612530002</v>
      </c>
      <c r="L80" s="34">
        <f t="shared" si="15"/>
        <v>1.2796171185307308</v>
      </c>
    </row>
    <row r="81" spans="5:12">
      <c r="E81" s="18"/>
      <c r="F81" s="18">
        <v>49</v>
      </c>
      <c r="G81" s="34">
        <f t="shared" si="16"/>
        <v>1.4140485255594686</v>
      </c>
      <c r="H81" s="78">
        <f t="shared" si="18"/>
        <v>0.19677576025912219</v>
      </c>
      <c r="I81" s="34">
        <f t="shared" si="14"/>
        <v>1.2172727653003463</v>
      </c>
      <c r="J81" s="34">
        <f t="shared" si="13"/>
        <v>93.235092159078306</v>
      </c>
      <c r="K81" s="78">
        <f t="shared" si="17"/>
        <v>0.90305019155955069</v>
      </c>
      <c r="L81" s="34">
        <f t="shared" si="15"/>
        <v>1.2769567918809783</v>
      </c>
    </row>
    <row r="82" spans="5:12">
      <c r="E82" s="18"/>
      <c r="F82" s="18">
        <v>50</v>
      </c>
      <c r="G82" s="34">
        <f t="shared" si="16"/>
        <v>1.4140485255594686</v>
      </c>
      <c r="H82" s="78">
        <f t="shared" si="18"/>
        <v>0.19423977533141312</v>
      </c>
      <c r="I82" s="34">
        <f t="shared" si="14"/>
        <v>1.2198087502280555</v>
      </c>
      <c r="J82" s="34">
        <f t="shared" si="13"/>
        <v>92.015283408850252</v>
      </c>
      <c r="K82" s="78">
        <f t="shared" si="17"/>
        <v>0.90117274833385508</v>
      </c>
      <c r="L82" s="34">
        <f t="shared" si="15"/>
        <v>1.2743019960558619</v>
      </c>
    </row>
    <row r="83" spans="5:12">
      <c r="E83" s="18"/>
      <c r="F83" s="18">
        <v>51</v>
      </c>
      <c r="G83" s="34">
        <f t="shared" si="16"/>
        <v>1.4140485255594686</v>
      </c>
      <c r="H83" s="78">
        <f t="shared" si="18"/>
        <v>0.19169850710177136</v>
      </c>
      <c r="I83" s="34">
        <f t="shared" si="14"/>
        <v>1.2223500184576972</v>
      </c>
      <c r="J83" s="34">
        <f t="shared" si="13"/>
        <v>90.792933390392548</v>
      </c>
      <c r="K83" s="78">
        <f t="shared" si="17"/>
        <v>0.89929920831652899</v>
      </c>
      <c r="L83" s="34">
        <f t="shared" si="15"/>
        <v>1.2716527195567853</v>
      </c>
    </row>
    <row r="84" spans="5:12">
      <c r="E84" s="18"/>
      <c r="F84" s="18">
        <v>52</v>
      </c>
      <c r="G84" s="34">
        <f t="shared" si="16"/>
        <v>1.4140485255594686</v>
      </c>
      <c r="H84" s="78">
        <f t="shared" si="18"/>
        <v>0.1891519445633178</v>
      </c>
      <c r="I84" s="34">
        <f t="shared" si="14"/>
        <v>1.2248965809961507</v>
      </c>
      <c r="J84" s="34">
        <f t="shared" si="13"/>
        <v>89.568036809396403</v>
      </c>
      <c r="K84" s="78">
        <f t="shared" si="17"/>
        <v>0.89742956339279401</v>
      </c>
      <c r="L84" s="34">
        <f t="shared" si="15"/>
        <v>1.2690089509090581</v>
      </c>
    </row>
    <row r="85" spans="5:12">
      <c r="E85" s="18"/>
      <c r="F85" s="18">
        <v>53</v>
      </c>
      <c r="G85" s="34">
        <f t="shared" si="16"/>
        <v>1.4140485255594686</v>
      </c>
      <c r="H85" s="78">
        <f t="shared" si="18"/>
        <v>0.18660007668624251</v>
      </c>
      <c r="I85" s="34">
        <f t="shared" si="14"/>
        <v>1.227448448873226</v>
      </c>
      <c r="J85" s="34">
        <f t="shared" si="13"/>
        <v>88.340588360523171</v>
      </c>
      <c r="K85" s="78">
        <f t="shared" si="17"/>
        <v>0.89556380546474212</v>
      </c>
      <c r="L85" s="34">
        <f t="shared" si="15"/>
        <v>1.2663706786618454</v>
      </c>
    </row>
    <row r="86" spans="5:12">
      <c r="E86" s="18"/>
      <c r="F86" s="18">
        <v>54</v>
      </c>
      <c r="G86" s="34">
        <f t="shared" si="16"/>
        <v>1.4140485255594686</v>
      </c>
      <c r="H86" s="78">
        <f t="shared" si="18"/>
        <v>0.18404289241775659</v>
      </c>
      <c r="I86" s="34">
        <f t="shared" si="14"/>
        <v>1.230005633141712</v>
      </c>
      <c r="J86" s="34">
        <f t="shared" si="13"/>
        <v>87.110582727381455</v>
      </c>
      <c r="K86" s="78">
        <f t="shared" si="17"/>
        <v>0.89370192645130186</v>
      </c>
      <c r="L86" s="34">
        <f t="shared" si="15"/>
        <v>1.2637378913881201</v>
      </c>
    </row>
    <row r="87" spans="5:12">
      <c r="E87" s="18"/>
      <c r="F87" s="18">
        <v>55</v>
      </c>
      <c r="G87" s="34">
        <f t="shared" si="16"/>
        <v>1.4140485255594686</v>
      </c>
      <c r="H87" s="78">
        <f t="shared" si="18"/>
        <v>0.1814803806820447</v>
      </c>
      <c r="I87" s="34">
        <f t="shared" si="14"/>
        <v>1.2325681448774239</v>
      </c>
      <c r="J87" s="34">
        <f t="shared" si="13"/>
        <v>85.878014582504036</v>
      </c>
      <c r="K87" s="78">
        <f t="shared" si="17"/>
        <v>0.89184391828820131</v>
      </c>
      <c r="L87" s="34">
        <f t="shared" si="15"/>
        <v>1.2611105776846103</v>
      </c>
    </row>
    <row r="88" spans="5:12">
      <c r="E88" s="18"/>
      <c r="F88" s="18">
        <v>56</v>
      </c>
      <c r="G88" s="34">
        <f t="shared" si="16"/>
        <v>1.4140485255594686</v>
      </c>
      <c r="H88" s="78">
        <f t="shared" si="18"/>
        <v>0.17891253038021673</v>
      </c>
      <c r="I88" s="34">
        <f t="shared" si="14"/>
        <v>1.2351359951792518</v>
      </c>
      <c r="J88" s="34">
        <f t="shared" si="13"/>
        <v>84.642878587324788</v>
      </c>
      <c r="K88" s="78">
        <f t="shared" si="17"/>
        <v>0.88998977292793469</v>
      </c>
      <c r="L88" s="34">
        <f t="shared" si="15"/>
        <v>1.2584887261717523</v>
      </c>
    </row>
    <row r="89" spans="5:12">
      <c r="E89" s="18"/>
      <c r="F89" s="18">
        <v>57</v>
      </c>
      <c r="G89" s="34">
        <f t="shared" si="16"/>
        <v>1.4140485255594686</v>
      </c>
      <c r="H89" s="78">
        <f t="shared" si="18"/>
        <v>0.17633933039025998</v>
      </c>
      <c r="I89" s="34">
        <f t="shared" si="14"/>
        <v>1.2377091951692085</v>
      </c>
      <c r="J89" s="34">
        <f t="shared" si="13"/>
        <v>83.405169392155585</v>
      </c>
      <c r="K89" s="78">
        <f t="shared" si="17"/>
        <v>0.88813948233972695</v>
      </c>
      <c r="L89" s="34">
        <f t="shared" si="15"/>
        <v>1.2558723254936406</v>
      </c>
    </row>
    <row r="90" spans="5:12">
      <c r="E90" s="18"/>
      <c r="F90" s="18">
        <v>58</v>
      </c>
      <c r="G90" s="34">
        <f t="shared" si="16"/>
        <v>1.4140485255594686</v>
      </c>
      <c r="H90" s="78">
        <f t="shared" si="18"/>
        <v>0.1737607695669908</v>
      </c>
      <c r="I90" s="34">
        <f t="shared" si="14"/>
        <v>1.2402877559924779</v>
      </c>
      <c r="J90" s="34">
        <f t="shared" si="13"/>
        <v>82.164881636163102</v>
      </c>
      <c r="K90" s="78">
        <f t="shared" si="17"/>
        <v>0.88629303850949859</v>
      </c>
      <c r="L90" s="34">
        <f t="shared" si="15"/>
        <v>1.2532613643179777</v>
      </c>
    </row>
    <row r="91" spans="5:12">
      <c r="E91" s="18"/>
      <c r="F91" s="18">
        <v>59</v>
      </c>
      <c r="G91" s="34">
        <f t="shared" si="16"/>
        <v>1.4140485255594686</v>
      </c>
      <c r="H91" s="78">
        <f t="shared" si="18"/>
        <v>0.17117683674200646</v>
      </c>
      <c r="I91" s="34">
        <f t="shared" si="14"/>
        <v>1.2428716888174622</v>
      </c>
      <c r="J91" s="34">
        <f t="shared" si="13"/>
        <v>80.922009947345643</v>
      </c>
      <c r="K91" s="78">
        <f t="shared" si="17"/>
        <v>0.88445043343983198</v>
      </c>
      <c r="L91" s="34">
        <f t="shared" si="15"/>
        <v>1.2506558313360274</v>
      </c>
    </row>
    <row r="92" spans="5:12">
      <c r="E92" s="18"/>
      <c r="F92" s="18">
        <v>60</v>
      </c>
      <c r="G92" s="34">
        <f t="shared" si="16"/>
        <v>1.4140485255594686</v>
      </c>
      <c r="H92" s="78">
        <f t="shared" si="18"/>
        <v>0.16858752072363675</v>
      </c>
      <c r="I92" s="34">
        <f t="shared" si="14"/>
        <v>1.2454610048358319</v>
      </c>
      <c r="J92" s="34">
        <f t="shared" si="13"/>
        <v>79.676548942509811</v>
      </c>
      <c r="K92" s="78">
        <f t="shared" si="17"/>
        <v>0.88261165914993633</v>
      </c>
      <c r="L92" s="34">
        <f t="shared" si="15"/>
        <v>1.2480557152625638</v>
      </c>
    </row>
    <row r="93" spans="5:12">
      <c r="E93" s="18"/>
      <c r="F93" s="18">
        <v>61</v>
      </c>
      <c r="G93" s="34">
        <f t="shared" si="16"/>
        <v>1.4140485255594686</v>
      </c>
      <c r="H93" s="78">
        <f t="shared" si="18"/>
        <v>0.16599281029689544</v>
      </c>
      <c r="I93" s="34">
        <f t="shared" si="14"/>
        <v>1.2480557152625731</v>
      </c>
      <c r="J93" s="34">
        <f t="shared" si="13"/>
        <v>78.428493227247245</v>
      </c>
      <c r="K93" s="78">
        <f t="shared" si="17"/>
        <v>0.880776707675612</v>
      </c>
      <c r="L93" s="34">
        <f t="shared" si="15"/>
        <v>1.2454610048358223</v>
      </c>
    </row>
    <row r="94" spans="5:12">
      <c r="E94" s="18"/>
      <c r="F94" s="18">
        <v>62</v>
      </c>
      <c r="G94" s="34">
        <f t="shared" si="16"/>
        <v>1.4140485255594686</v>
      </c>
      <c r="H94" s="78">
        <f t="shared" si="18"/>
        <v>0.16339269422343175</v>
      </c>
      <c r="I94" s="34">
        <f t="shared" si="14"/>
        <v>1.2506558313360367</v>
      </c>
      <c r="J94" s="34">
        <f t="shared" si="13"/>
        <v>77.177837395911212</v>
      </c>
      <c r="K94" s="78">
        <f t="shared" si="17"/>
        <v>0.87894557106921756</v>
      </c>
      <c r="L94" s="34">
        <f t="shared" si="15"/>
        <v>1.2428716888174522</v>
      </c>
    </row>
    <row r="95" spans="5:12">
      <c r="E95" s="18"/>
      <c r="F95" s="18">
        <v>63</v>
      </c>
      <c r="G95" s="34">
        <f t="shared" si="16"/>
        <v>1.4140485255594686</v>
      </c>
      <c r="H95" s="78">
        <f t="shared" si="18"/>
        <v>0.16078716124148168</v>
      </c>
      <c r="I95" s="34">
        <f t="shared" si="14"/>
        <v>1.2532613643179868</v>
      </c>
      <c r="J95" s="34">
        <f t="shared" si="13"/>
        <v>75.924576031593219</v>
      </c>
      <c r="K95" s="78">
        <f t="shared" si="17"/>
        <v>0.87711824139963501</v>
      </c>
      <c r="L95" s="34">
        <f t="shared" si="15"/>
        <v>1.2402877559924679</v>
      </c>
    </row>
    <row r="96" spans="5:12">
      <c r="E96" s="18"/>
      <c r="F96" s="18">
        <v>64</v>
      </c>
      <c r="G96" s="34">
        <f t="shared" si="16"/>
        <v>1.4140485255594686</v>
      </c>
      <c r="H96" s="78">
        <f t="shared" si="18"/>
        <v>0.1581762000658192</v>
      </c>
      <c r="I96" s="34">
        <f t="shared" si="14"/>
        <v>1.2558723254936495</v>
      </c>
      <c r="J96" s="34">
        <f t="shared" si="13"/>
        <v>74.668703706099564</v>
      </c>
      <c r="K96" s="78">
        <f t="shared" si="17"/>
        <v>0.87529471075223442</v>
      </c>
      <c r="L96" s="34">
        <f t="shared" si="15"/>
        <v>1.2377091951691985</v>
      </c>
    </row>
    <row r="97" spans="5:12">
      <c r="E97" s="18"/>
      <c r="F97" s="18">
        <v>65</v>
      </c>
      <c r="G97" s="34">
        <f t="shared" ref="G97:G128" si="19">$C$39</f>
        <v>1.4140485255594686</v>
      </c>
      <c r="H97" s="78">
        <f t="shared" si="18"/>
        <v>0.15555979938770742</v>
      </c>
      <c r="I97" s="34">
        <f t="shared" si="14"/>
        <v>1.2584887261717612</v>
      </c>
      <c r="J97" s="34">
        <f t="shared" si="13"/>
        <v>73.410214979927801</v>
      </c>
      <c r="K97" s="78">
        <f t="shared" ref="K97:K128" si="20">1/POWER((1+$C$36),F97)</f>
        <v>0.87347497122884077</v>
      </c>
      <c r="L97" s="34">
        <f t="shared" si="15"/>
        <v>1.2351359951792416</v>
      </c>
    </row>
    <row r="98" spans="5:12">
      <c r="E98" s="18"/>
      <c r="F98" s="18">
        <v>66</v>
      </c>
      <c r="G98" s="34">
        <f t="shared" si="19"/>
        <v>1.4140485255594686</v>
      </c>
      <c r="H98" s="78">
        <f t="shared" ref="H98:H129" si="21">$C$36*J97</f>
        <v>0.15293794787484957</v>
      </c>
      <c r="I98" s="34">
        <f t="shared" si="14"/>
        <v>1.261110577684619</v>
      </c>
      <c r="J98" s="34">
        <f t="shared" si="13"/>
        <v>72.149104402243182</v>
      </c>
      <c r="K98" s="78">
        <f t="shared" si="20"/>
        <v>0.87165901494769982</v>
      </c>
      <c r="L98" s="34">
        <f t="shared" si="15"/>
        <v>1.2325681448774137</v>
      </c>
    </row>
    <row r="99" spans="5:12">
      <c r="E99" s="18"/>
      <c r="F99" s="18">
        <v>67</v>
      </c>
      <c r="G99" s="34">
        <f t="shared" si="19"/>
        <v>1.4140485255594686</v>
      </c>
      <c r="H99" s="78">
        <f t="shared" si="21"/>
        <v>0.15031063417133997</v>
      </c>
      <c r="I99" s="34">
        <f t="shared" si="14"/>
        <v>1.2637378913881285</v>
      </c>
      <c r="J99" s="34">
        <f t="shared" ref="J99:J152" si="22">J98-I99</f>
        <v>70.88536651085505</v>
      </c>
      <c r="K99" s="78">
        <f t="shared" si="20"/>
        <v>0.86984683404344254</v>
      </c>
      <c r="L99" s="34">
        <f t="shared" si="15"/>
        <v>1.2300056331417017</v>
      </c>
    </row>
    <row r="100" spans="5:12">
      <c r="E100" s="18"/>
      <c r="F100" s="18">
        <v>68</v>
      </c>
      <c r="G100" s="34">
        <f t="shared" si="19"/>
        <v>1.4140485255594686</v>
      </c>
      <c r="H100" s="78">
        <f t="shared" si="21"/>
        <v>0.14767784689761468</v>
      </c>
      <c r="I100" s="34">
        <f t="shared" si="14"/>
        <v>1.2663706786618538</v>
      </c>
      <c r="J100" s="34">
        <f t="shared" si="22"/>
        <v>69.618995832193193</v>
      </c>
      <c r="K100" s="78">
        <f t="shared" si="20"/>
        <v>0.8680384206670525</v>
      </c>
      <c r="L100" s="34">
        <f t="shared" si="15"/>
        <v>1.2274484488732154</v>
      </c>
    </row>
    <row r="101" spans="5:12">
      <c r="E101" s="18"/>
      <c r="F101" s="18">
        <v>69</v>
      </c>
      <c r="G101" s="34">
        <f t="shared" si="19"/>
        <v>1.4140485255594686</v>
      </c>
      <c r="H101" s="78">
        <f t="shared" si="21"/>
        <v>0.14503957465040249</v>
      </c>
      <c r="I101" s="34">
        <f t="shared" si="14"/>
        <v>1.2690089509090661</v>
      </c>
      <c r="J101" s="34">
        <f t="shared" si="22"/>
        <v>68.349986881284124</v>
      </c>
      <c r="K101" s="78">
        <f t="shared" si="20"/>
        <v>0.8662337669858321</v>
      </c>
      <c r="L101" s="34">
        <f t="shared" si="15"/>
        <v>1.2248965809961401</v>
      </c>
    </row>
    <row r="102" spans="5:12">
      <c r="E102" s="18"/>
      <c r="F102" s="18">
        <v>70</v>
      </c>
      <c r="G102" s="34">
        <f t="shared" si="19"/>
        <v>1.4140485255594686</v>
      </c>
      <c r="H102" s="78">
        <f t="shared" si="21"/>
        <v>0.14239580600267526</v>
      </c>
      <c r="I102" s="34">
        <f t="shared" si="14"/>
        <v>1.2716527195567933</v>
      </c>
      <c r="J102" s="34">
        <f t="shared" si="22"/>
        <v>67.078334161727327</v>
      </c>
      <c r="K102" s="78">
        <f t="shared" si="20"/>
        <v>0.86443286518336671</v>
      </c>
      <c r="L102" s="34">
        <f t="shared" si="15"/>
        <v>1.2223500184576865</v>
      </c>
    </row>
    <row r="103" spans="5:12">
      <c r="E103" s="18"/>
      <c r="F103" s="18">
        <v>71</v>
      </c>
      <c r="G103" s="34">
        <f t="shared" si="19"/>
        <v>1.4140485255594686</v>
      </c>
      <c r="H103" s="78">
        <f t="shared" si="21"/>
        <v>0.13974652950359859</v>
      </c>
      <c r="I103" s="34">
        <f t="shared" si="14"/>
        <v>1.2743019960558699</v>
      </c>
      <c r="J103" s="34">
        <f t="shared" si="22"/>
        <v>65.804032165671458</v>
      </c>
      <c r="K103" s="78">
        <f t="shared" si="20"/>
        <v>0.86263570745949258</v>
      </c>
      <c r="L103" s="34">
        <f t="shared" si="15"/>
        <v>1.2198087502280446</v>
      </c>
    </row>
    <row r="104" spans="5:12">
      <c r="E104" s="18"/>
      <c r="F104" s="18">
        <v>72</v>
      </c>
      <c r="G104" s="34">
        <f t="shared" si="19"/>
        <v>1.4140485255594686</v>
      </c>
      <c r="H104" s="78">
        <f t="shared" si="21"/>
        <v>0.13709173367848221</v>
      </c>
      <c r="I104" s="34">
        <f t="shared" si="14"/>
        <v>1.2769567918809863</v>
      </c>
      <c r="J104" s="34">
        <f t="shared" si="22"/>
        <v>64.527075373790467</v>
      </c>
      <c r="K104" s="78">
        <f t="shared" si="20"/>
        <v>0.86084228603026258</v>
      </c>
      <c r="L104" s="34">
        <f t="shared" si="15"/>
        <v>1.217272765300335</v>
      </c>
    </row>
    <row r="105" spans="5:12">
      <c r="E105" s="18"/>
      <c r="F105" s="18">
        <v>73</v>
      </c>
      <c r="G105" s="34">
        <f t="shared" si="19"/>
        <v>1.4140485255594686</v>
      </c>
      <c r="H105" s="78">
        <f t="shared" si="21"/>
        <v>0.13443140702873013</v>
      </c>
      <c r="I105" s="34">
        <f t="shared" si="14"/>
        <v>1.2796171185307386</v>
      </c>
      <c r="J105" s="34">
        <f t="shared" si="22"/>
        <v>63.24745825525973</v>
      </c>
      <c r="K105" s="78">
        <f t="shared" si="20"/>
        <v>0.85905259312791282</v>
      </c>
      <c r="L105" s="34">
        <f t="shared" si="15"/>
        <v>1.2147420526905632</v>
      </c>
    </row>
    <row r="106" spans="5:12">
      <c r="E106" s="18"/>
      <c r="F106" s="18">
        <v>74</v>
      </c>
      <c r="G106" s="34">
        <f t="shared" si="19"/>
        <v>1.4140485255594686</v>
      </c>
      <c r="H106" s="78">
        <f t="shared" si="21"/>
        <v>0.13176553803179111</v>
      </c>
      <c r="I106" s="34">
        <f t="shared" si="14"/>
        <v>1.2822829875276776</v>
      </c>
      <c r="J106" s="34">
        <f t="shared" si="22"/>
        <v>61.96517526773205</v>
      </c>
      <c r="K106" s="78">
        <f t="shared" si="20"/>
        <v>0.85726662100082762</v>
      </c>
      <c r="L106" s="34">
        <f t="shared" si="15"/>
        <v>1.2122166014375682</v>
      </c>
    </row>
    <row r="107" spans="5:12">
      <c r="E107" s="18"/>
      <c r="F107" s="18">
        <v>75</v>
      </c>
      <c r="G107" s="34">
        <f t="shared" si="19"/>
        <v>1.4140485255594686</v>
      </c>
      <c r="H107" s="78">
        <f t="shared" si="21"/>
        <v>0.12909411514110844</v>
      </c>
      <c r="I107" s="34">
        <f t="shared" ref="I107:I152" si="23">G107-H107</f>
        <v>1.2849544104183601</v>
      </c>
      <c r="J107" s="34">
        <f t="shared" si="22"/>
        <v>60.680220857313692</v>
      </c>
      <c r="K107" s="78">
        <f t="shared" si="20"/>
        <v>0.85548436191350763</v>
      </c>
      <c r="L107" s="34">
        <f t="shared" ref="L107:L152" si="24">G107*K107</f>
        <v>1.2096964006029782</v>
      </c>
    </row>
    <row r="108" spans="5:12">
      <c r="E108" s="18"/>
      <c r="F108" s="18">
        <v>76</v>
      </c>
      <c r="G108" s="34">
        <f t="shared" si="19"/>
        <v>1.4140485255594686</v>
      </c>
      <c r="H108" s="78">
        <f t="shared" si="21"/>
        <v>0.1264171267860702</v>
      </c>
      <c r="I108" s="34">
        <f t="shared" si="23"/>
        <v>1.2876313987733985</v>
      </c>
      <c r="J108" s="34">
        <f t="shared" si="22"/>
        <v>59.392589458540293</v>
      </c>
      <c r="K108" s="78">
        <f t="shared" si="20"/>
        <v>0.85370580814653563</v>
      </c>
      <c r="L108" s="34">
        <f t="shared" si="24"/>
        <v>1.2071814392711633</v>
      </c>
    </row>
    <row r="109" spans="5:12">
      <c r="E109" s="18"/>
      <c r="F109" s="18">
        <v>77</v>
      </c>
      <c r="G109" s="34">
        <f t="shared" si="19"/>
        <v>1.4140485255594686</v>
      </c>
      <c r="H109" s="78">
        <f t="shared" si="21"/>
        <v>0.12373456137195894</v>
      </c>
      <c r="I109" s="34">
        <f t="shared" si="23"/>
        <v>1.2903139641875097</v>
      </c>
      <c r="J109" s="34">
        <f t="shared" si="22"/>
        <v>58.102275494352781</v>
      </c>
      <c r="K109" s="78">
        <f t="shared" si="20"/>
        <v>0.85193095199654267</v>
      </c>
      <c r="L109" s="34">
        <f t="shared" si="24"/>
        <v>1.2046717065491857</v>
      </c>
    </row>
    <row r="110" spans="5:12">
      <c r="E110" s="18"/>
      <c r="F110" s="18">
        <v>78</v>
      </c>
      <c r="G110" s="34">
        <f t="shared" si="19"/>
        <v>1.4140485255594686</v>
      </c>
      <c r="H110" s="78">
        <f t="shared" si="21"/>
        <v>0.12104640727990162</v>
      </c>
      <c r="I110" s="34">
        <f t="shared" si="23"/>
        <v>1.293002118279567</v>
      </c>
      <c r="J110" s="34">
        <f t="shared" si="22"/>
        <v>56.809273376073214</v>
      </c>
      <c r="K110" s="78">
        <f t="shared" si="20"/>
        <v>0.85015978577617557</v>
      </c>
      <c r="L110" s="34">
        <f t="shared" si="24"/>
        <v>1.2021671915667547</v>
      </c>
    </row>
    <row r="111" spans="5:12">
      <c r="E111" s="18"/>
      <c r="F111" s="18">
        <v>79</v>
      </c>
      <c r="G111" s="34">
        <f t="shared" si="19"/>
        <v>1.4140485255594686</v>
      </c>
      <c r="H111" s="78">
        <f t="shared" si="21"/>
        <v>0.11835265286681919</v>
      </c>
      <c r="I111" s="34">
        <f t="shared" si="23"/>
        <v>1.2956958726926493</v>
      </c>
      <c r="J111" s="34">
        <f t="shared" si="22"/>
        <v>55.513577503380567</v>
      </c>
      <c r="K111" s="78">
        <f t="shared" si="20"/>
        <v>0.84839230181406289</v>
      </c>
      <c r="L111" s="34">
        <f t="shared" si="24"/>
        <v>1.1996678834761794</v>
      </c>
    </row>
    <row r="112" spans="5:12">
      <c r="E112" s="18"/>
      <c r="F112" s="18">
        <v>80</v>
      </c>
      <c r="G112" s="34">
        <f t="shared" si="19"/>
        <v>1.4140485255594686</v>
      </c>
      <c r="H112" s="78">
        <f t="shared" si="21"/>
        <v>0.11565328646537618</v>
      </c>
      <c r="I112" s="34">
        <f t="shared" si="23"/>
        <v>1.2983952390940925</v>
      </c>
      <c r="J112" s="34">
        <f t="shared" si="22"/>
        <v>54.215182264286476</v>
      </c>
      <c r="K112" s="78">
        <f t="shared" si="20"/>
        <v>0.846628492454782</v>
      </c>
      <c r="L112" s="34">
        <f t="shared" si="24"/>
        <v>1.1971737714523201</v>
      </c>
    </row>
    <row r="113" spans="5:12">
      <c r="E113" s="18"/>
      <c r="F113" s="18">
        <v>81</v>
      </c>
      <c r="G113" s="34">
        <f t="shared" si="19"/>
        <v>1.4140485255594686</v>
      </c>
      <c r="H113" s="78">
        <f t="shared" si="21"/>
        <v>0.11294829638393016</v>
      </c>
      <c r="I113" s="34">
        <f t="shared" si="23"/>
        <v>1.3011002291755385</v>
      </c>
      <c r="J113" s="34">
        <f t="shared" si="22"/>
        <v>52.914082035110937</v>
      </c>
      <c r="K113" s="78">
        <f t="shared" si="20"/>
        <v>0.84486835005882599</v>
      </c>
      <c r="L113" s="34">
        <f t="shared" si="24"/>
        <v>1.1946848446925438</v>
      </c>
    </row>
    <row r="114" spans="5:12">
      <c r="E114" s="18"/>
      <c r="F114" s="18">
        <v>82</v>
      </c>
      <c r="G114" s="34">
        <f t="shared" si="19"/>
        <v>1.4140485255594686</v>
      </c>
      <c r="H114" s="78">
        <f t="shared" si="21"/>
        <v>0.11023767090648112</v>
      </c>
      <c r="I114" s="34">
        <f t="shared" si="23"/>
        <v>1.3038108546529874</v>
      </c>
      <c r="J114" s="34">
        <f t="shared" si="22"/>
        <v>51.61027118045795</v>
      </c>
      <c r="K114" s="78">
        <f t="shared" si="20"/>
        <v>0.84311186700257046</v>
      </c>
      <c r="L114" s="34">
        <f t="shared" si="24"/>
        <v>1.1922010924166755</v>
      </c>
    </row>
    <row r="115" spans="5:12">
      <c r="E115" s="18"/>
      <c r="F115" s="18">
        <v>83</v>
      </c>
      <c r="G115" s="34">
        <f t="shared" si="19"/>
        <v>1.4140485255594686</v>
      </c>
      <c r="H115" s="78">
        <f t="shared" si="21"/>
        <v>0.10752139829262072</v>
      </c>
      <c r="I115" s="34">
        <f t="shared" si="23"/>
        <v>1.3065271272668479</v>
      </c>
      <c r="J115" s="34">
        <f t="shared" si="22"/>
        <v>50.303744053191103</v>
      </c>
      <c r="K115" s="78">
        <f t="shared" si="20"/>
        <v>0.84135903567824089</v>
      </c>
      <c r="L115" s="34">
        <f t="shared" si="24"/>
        <v>1.1897225038669528</v>
      </c>
    </row>
    <row r="116" spans="5:12">
      <c r="E116" s="18"/>
      <c r="F116" s="18">
        <v>84</v>
      </c>
      <c r="G116" s="34">
        <f t="shared" si="19"/>
        <v>1.4140485255594686</v>
      </c>
      <c r="H116" s="78">
        <f t="shared" si="21"/>
        <v>0.10479946677748146</v>
      </c>
      <c r="I116" s="34">
        <f t="shared" si="23"/>
        <v>1.3092490587819872</v>
      </c>
      <c r="J116" s="34">
        <f t="shared" si="22"/>
        <v>48.994494994409116</v>
      </c>
      <c r="K116" s="78">
        <f t="shared" si="20"/>
        <v>0.83960984849387843</v>
      </c>
      <c r="L116" s="34">
        <f t="shared" si="24"/>
        <v>1.1872490683079775</v>
      </c>
    </row>
    <row r="117" spans="5:12">
      <c r="E117" s="18"/>
      <c r="F117" s="18">
        <v>85</v>
      </c>
      <c r="G117" s="34">
        <f t="shared" si="19"/>
        <v>1.4140485255594686</v>
      </c>
      <c r="H117" s="78">
        <f t="shared" si="21"/>
        <v>0.10207186457168566</v>
      </c>
      <c r="I117" s="34">
        <f t="shared" si="23"/>
        <v>1.311976660987783</v>
      </c>
      <c r="J117" s="34">
        <f t="shared" si="22"/>
        <v>47.682518333421335</v>
      </c>
      <c r="K117" s="78">
        <f t="shared" si="20"/>
        <v>0.83786429787330896</v>
      </c>
      <c r="L117" s="34">
        <f t="shared" si="24"/>
        <v>1.1847807750266719</v>
      </c>
    </row>
    <row r="118" spans="5:12">
      <c r="E118" s="18"/>
      <c r="F118" s="18">
        <v>86</v>
      </c>
      <c r="G118" s="34">
        <f t="shared" si="19"/>
        <v>1.4140485255594686</v>
      </c>
      <c r="H118" s="78">
        <f t="shared" si="21"/>
        <v>9.9338579861294449E-2</v>
      </c>
      <c r="I118" s="34">
        <f t="shared" si="23"/>
        <v>1.3147099456981741</v>
      </c>
      <c r="J118" s="34">
        <f t="shared" si="22"/>
        <v>46.367808387723159</v>
      </c>
      <c r="K118" s="78">
        <f t="shared" si="20"/>
        <v>0.83612237625610863</v>
      </c>
      <c r="L118" s="34">
        <f t="shared" si="24"/>
        <v>1.1823176133322297</v>
      </c>
    </row>
    <row r="119" spans="5:12">
      <c r="E119" s="18"/>
      <c r="F119" s="18">
        <v>87</v>
      </c>
      <c r="G119" s="34">
        <f t="shared" si="19"/>
        <v>1.4140485255594686</v>
      </c>
      <c r="H119" s="78">
        <f t="shared" si="21"/>
        <v>9.6599600807756578E-2</v>
      </c>
      <c r="I119" s="34">
        <f t="shared" si="23"/>
        <v>1.317448924751712</v>
      </c>
      <c r="J119" s="34">
        <f t="shared" si="22"/>
        <v>45.05035946297145</v>
      </c>
      <c r="K119" s="78">
        <f t="shared" si="20"/>
        <v>0.83438407609757181</v>
      </c>
      <c r="L119" s="34">
        <f t="shared" si="24"/>
        <v>1.1798595725560708</v>
      </c>
    </row>
    <row r="120" spans="5:12">
      <c r="E120" s="18"/>
      <c r="F120" s="18">
        <v>88</v>
      </c>
      <c r="G120" s="34">
        <f t="shared" si="19"/>
        <v>1.4140485255594686</v>
      </c>
      <c r="H120" s="78">
        <f t="shared" si="21"/>
        <v>9.3854915547857187E-2</v>
      </c>
      <c r="I120" s="34">
        <f t="shared" si="23"/>
        <v>1.3201936100116114</v>
      </c>
      <c r="J120" s="34">
        <f t="shared" si="22"/>
        <v>43.730165852959836</v>
      </c>
      <c r="K120" s="78">
        <f t="shared" si="20"/>
        <v>0.83264938986867865</v>
      </c>
      <c r="L120" s="34">
        <f t="shared" si="24"/>
        <v>1.1774066420517961</v>
      </c>
    </row>
    <row r="121" spans="5:12">
      <c r="E121" s="18"/>
      <c r="F121" s="18">
        <v>89</v>
      </c>
      <c r="G121" s="34">
        <f t="shared" si="19"/>
        <v>1.4140485255594686</v>
      </c>
      <c r="H121" s="78">
        <f t="shared" si="21"/>
        <v>9.1104512193666318E-2</v>
      </c>
      <c r="I121" s="34">
        <f t="shared" si="23"/>
        <v>1.3229440133658024</v>
      </c>
      <c r="J121" s="34">
        <f t="shared" si="22"/>
        <v>42.40722183959403</v>
      </c>
      <c r="K121" s="78">
        <f t="shared" si="20"/>
        <v>0.83091831005606176</v>
      </c>
      <c r="L121" s="34">
        <f t="shared" si="24"/>
        <v>1.1749588111951395</v>
      </c>
    </row>
    <row r="122" spans="5:12">
      <c r="E122" s="18"/>
      <c r="F122" s="18">
        <v>90</v>
      </c>
      <c r="G122" s="34">
        <f t="shared" si="19"/>
        <v>1.4140485255594686</v>
      </c>
      <c r="H122" s="78">
        <f t="shared" si="21"/>
        <v>8.8348378832487556E-2</v>
      </c>
      <c r="I122" s="34">
        <f t="shared" si="23"/>
        <v>1.3257001467269811</v>
      </c>
      <c r="J122" s="34">
        <f t="shared" si="22"/>
        <v>41.081521692867049</v>
      </c>
      <c r="K122" s="78">
        <f t="shared" si="20"/>
        <v>0.82919082916197417</v>
      </c>
      <c r="L122" s="34">
        <f t="shared" si="24"/>
        <v>1.1725160693839227</v>
      </c>
    </row>
    <row r="123" spans="5:12">
      <c r="E123" s="18"/>
      <c r="F123" s="18">
        <v>91</v>
      </c>
      <c r="G123" s="34">
        <f t="shared" si="19"/>
        <v>1.4140485255594686</v>
      </c>
      <c r="H123" s="78">
        <f t="shared" si="21"/>
        <v>8.5586503526806357E-2</v>
      </c>
      <c r="I123" s="34">
        <f t="shared" si="23"/>
        <v>1.3284620220326622</v>
      </c>
      <c r="J123" s="34">
        <f t="shared" si="22"/>
        <v>39.753059670834389</v>
      </c>
      <c r="K123" s="78">
        <f t="shared" si="20"/>
        <v>0.82746693970425678</v>
      </c>
      <c r="L123" s="34">
        <f t="shared" si="24"/>
        <v>1.1700784060380101</v>
      </c>
    </row>
    <row r="124" spans="5:12">
      <c r="E124" s="18"/>
      <c r="F124" s="18">
        <v>92</v>
      </c>
      <c r="G124" s="34">
        <f t="shared" si="19"/>
        <v>1.4140485255594686</v>
      </c>
      <c r="H124" s="78">
        <f t="shared" si="21"/>
        <v>8.2818874314238317E-2</v>
      </c>
      <c r="I124" s="34">
        <f t="shared" si="23"/>
        <v>1.3312296512452302</v>
      </c>
      <c r="J124" s="34">
        <f t="shared" si="22"/>
        <v>38.421830019589159</v>
      </c>
      <c r="K124" s="78">
        <f t="shared" si="20"/>
        <v>0.82574663421630623</v>
      </c>
      <c r="L124" s="34">
        <f t="shared" si="24"/>
        <v>1.1676458105992618</v>
      </c>
    </row>
    <row r="125" spans="5:12">
      <c r="E125" s="18"/>
      <c r="F125" s="18">
        <v>93</v>
      </c>
      <c r="G125" s="34">
        <f t="shared" si="19"/>
        <v>1.4140485255594686</v>
      </c>
      <c r="H125" s="78">
        <f t="shared" si="21"/>
        <v>8.0045479207477413E-2</v>
      </c>
      <c r="I125" s="34">
        <f t="shared" si="23"/>
        <v>1.3340030463519912</v>
      </c>
      <c r="J125" s="34">
        <f t="shared" si="22"/>
        <v>37.087826973237171</v>
      </c>
      <c r="K125" s="78">
        <f t="shared" si="20"/>
        <v>0.82402990524704123</v>
      </c>
      <c r="L125" s="34">
        <f t="shared" si="24"/>
        <v>1.1652182725314872</v>
      </c>
    </row>
    <row r="126" spans="5:12">
      <c r="E126" s="18"/>
      <c r="F126" s="18">
        <v>94</v>
      </c>
      <c r="G126" s="34">
        <f t="shared" si="19"/>
        <v>1.4140485255594686</v>
      </c>
      <c r="H126" s="78">
        <f t="shared" si="21"/>
        <v>7.72663061942441E-2</v>
      </c>
      <c r="I126" s="34">
        <f t="shared" si="23"/>
        <v>1.3367822193652246</v>
      </c>
      <c r="J126" s="34">
        <f t="shared" si="22"/>
        <v>35.751044753871945</v>
      </c>
      <c r="K126" s="78">
        <f t="shared" si="20"/>
        <v>0.82231674536087274</v>
      </c>
      <c r="L126" s="34">
        <f t="shared" si="24"/>
        <v>1.1627957813204031</v>
      </c>
    </row>
    <row r="127" spans="5:12">
      <c r="E127" s="18"/>
      <c r="F127" s="18">
        <v>95</v>
      </c>
      <c r="G127" s="34">
        <f t="shared" si="19"/>
        <v>1.4140485255594686</v>
      </c>
      <c r="H127" s="78">
        <f t="shared" si="21"/>
        <v>7.4481343237233211E-2</v>
      </c>
      <c r="I127" s="34">
        <f t="shared" si="23"/>
        <v>1.3395671823222353</v>
      </c>
      <c r="J127" s="34">
        <f t="shared" si="22"/>
        <v>34.41147757154971</v>
      </c>
      <c r="K127" s="78">
        <f t="shared" si="20"/>
        <v>0.82060714713766914</v>
      </c>
      <c r="L127" s="34">
        <f t="shared" si="24"/>
        <v>1.160378326473583</v>
      </c>
    </row>
    <row r="128" spans="5:12">
      <c r="E128" s="18"/>
      <c r="F128" s="18">
        <v>96</v>
      </c>
      <c r="G128" s="34">
        <f t="shared" si="19"/>
        <v>1.4140485255594686</v>
      </c>
      <c r="H128" s="78">
        <f t="shared" si="21"/>
        <v>7.1690578274061889E-2</v>
      </c>
      <c r="I128" s="34">
        <f t="shared" si="23"/>
        <v>1.3423579472854068</v>
      </c>
      <c r="J128" s="34">
        <f t="shared" si="22"/>
        <v>33.069119624264303</v>
      </c>
      <c r="K128" s="78">
        <f t="shared" si="20"/>
        <v>0.81890110317272591</v>
      </c>
      <c r="L128" s="34">
        <f t="shared" si="24"/>
        <v>1.1579658975204152</v>
      </c>
    </row>
    <row r="129" spans="5:12">
      <c r="E129" s="18"/>
      <c r="F129" s="18">
        <v>97</v>
      </c>
      <c r="G129" s="34">
        <f t="shared" ref="G129:G152" si="25">$C$39</f>
        <v>1.4140485255594686</v>
      </c>
      <c r="H129" s="78">
        <f t="shared" si="21"/>
        <v>6.8893999217217297E-2</v>
      </c>
      <c r="I129" s="34">
        <f t="shared" si="23"/>
        <v>1.3451545263422513</v>
      </c>
      <c r="J129" s="34">
        <f t="shared" si="22"/>
        <v>31.723965097922051</v>
      </c>
      <c r="K129" s="78">
        <f t="shared" ref="K129:K152" si="26">1/POWER((1+$C$36),F129)</f>
        <v>0.81719860607673267</v>
      </c>
      <c r="L129" s="34">
        <f t="shared" si="24"/>
        <v>1.1555584840120567</v>
      </c>
    </row>
    <row r="130" spans="5:12">
      <c r="E130" s="18"/>
      <c r="F130" s="18">
        <v>98</v>
      </c>
      <c r="G130" s="34">
        <f t="shared" si="25"/>
        <v>1.4140485255594686</v>
      </c>
      <c r="H130" s="78">
        <f t="shared" ref="H130:H152" si="27">$C$36*J129</f>
        <v>6.6091593954004269E-2</v>
      </c>
      <c r="I130" s="34">
        <f t="shared" si="23"/>
        <v>1.3479569316054643</v>
      </c>
      <c r="J130" s="34">
        <f t="shared" si="22"/>
        <v>30.376008166316588</v>
      </c>
      <c r="K130" s="78">
        <f t="shared" si="26"/>
        <v>0.8154996484757413</v>
      </c>
      <c r="L130" s="34">
        <f t="shared" si="24"/>
        <v>1.153156075521387</v>
      </c>
    </row>
    <row r="131" spans="5:12">
      <c r="E131" s="18"/>
      <c r="F131" s="18">
        <v>99</v>
      </c>
      <c r="G131" s="34">
        <f t="shared" si="25"/>
        <v>1.4140485255594686</v>
      </c>
      <c r="H131" s="78">
        <f t="shared" si="27"/>
        <v>6.3283350346492892E-2</v>
      </c>
      <c r="I131" s="34">
        <f t="shared" si="23"/>
        <v>1.3507651752129757</v>
      </c>
      <c r="J131" s="34">
        <f t="shared" si="22"/>
        <v>29.02524299110361</v>
      </c>
      <c r="K131" s="78">
        <f t="shared" si="26"/>
        <v>0.81380422301113486</v>
      </c>
      <c r="L131" s="34">
        <f t="shared" si="24"/>
        <v>1.1507586616429641</v>
      </c>
    </row>
    <row r="132" spans="5:12">
      <c r="E132" s="18"/>
      <c r="F132" s="18">
        <v>100</v>
      </c>
      <c r="G132" s="34">
        <f t="shared" si="25"/>
        <v>1.4140485255594686</v>
      </c>
      <c r="H132" s="78">
        <f t="shared" si="27"/>
        <v>6.0469256231465852E-2</v>
      </c>
      <c r="I132" s="34">
        <f t="shared" si="23"/>
        <v>1.3535792693280027</v>
      </c>
      <c r="J132" s="34">
        <f t="shared" si="22"/>
        <v>27.671663721775609</v>
      </c>
      <c r="K132" s="78">
        <f t="shared" si="26"/>
        <v>0.81211232233959385</v>
      </c>
      <c r="L132" s="34">
        <f t="shared" si="24"/>
        <v>1.1483662319929786</v>
      </c>
    </row>
    <row r="133" spans="5:12">
      <c r="E133" s="18"/>
      <c r="F133" s="18">
        <v>101</v>
      </c>
      <c r="G133" s="34">
        <f t="shared" si="25"/>
        <v>1.4140485255594686</v>
      </c>
      <c r="H133" s="78">
        <f t="shared" si="27"/>
        <v>5.7649299420365847E-2</v>
      </c>
      <c r="I133" s="34">
        <f t="shared" si="23"/>
        <v>1.3563992261391027</v>
      </c>
      <c r="J133" s="34">
        <f t="shared" si="22"/>
        <v>26.315264495636505</v>
      </c>
      <c r="K133" s="78">
        <f t="shared" si="26"/>
        <v>0.81042393913306654</v>
      </c>
      <c r="L133" s="34">
        <f t="shared" si="24"/>
        <v>1.1459787762092093</v>
      </c>
    </row>
    <row r="134" spans="5:12">
      <c r="E134" s="18"/>
      <c r="F134" s="18">
        <v>102</v>
      </c>
      <c r="G134" s="34">
        <f t="shared" si="25"/>
        <v>1.4140485255594686</v>
      </c>
      <c r="H134" s="78">
        <f t="shared" si="27"/>
        <v>5.482346769924272E-2</v>
      </c>
      <c r="I134" s="34">
        <f t="shared" si="23"/>
        <v>1.3592250578602258</v>
      </c>
      <c r="J134" s="34">
        <f t="shared" si="22"/>
        <v>24.95603943777628</v>
      </c>
      <c r="K134" s="78">
        <f t="shared" si="26"/>
        <v>0.8087390660787358</v>
      </c>
      <c r="L134" s="34">
        <f t="shared" si="24"/>
        <v>1.1435962839509779</v>
      </c>
    </row>
    <row r="135" spans="5:12">
      <c r="E135" s="18"/>
      <c r="F135" s="18">
        <v>103</v>
      </c>
      <c r="G135" s="34">
        <f t="shared" si="25"/>
        <v>1.4140485255594686</v>
      </c>
      <c r="H135" s="78">
        <f t="shared" si="27"/>
        <v>5.1991748828700585E-2</v>
      </c>
      <c r="I135" s="34">
        <f t="shared" si="23"/>
        <v>1.3620567767307681</v>
      </c>
      <c r="J135" s="34">
        <f t="shared" si="22"/>
        <v>23.593982661045512</v>
      </c>
      <c r="K135" s="78">
        <f t="shared" si="26"/>
        <v>0.80705769587898768</v>
      </c>
      <c r="L135" s="34">
        <f t="shared" si="24"/>
        <v>1.1412187448991045</v>
      </c>
    </row>
    <row r="136" spans="5:12">
      <c r="E136" s="18"/>
      <c r="F136" s="18">
        <v>104</v>
      </c>
      <c r="G136" s="34">
        <f t="shared" si="25"/>
        <v>1.4140485255594686</v>
      </c>
      <c r="H136" s="78">
        <f t="shared" si="27"/>
        <v>4.9154130543844814E-2</v>
      </c>
      <c r="I136" s="34">
        <f t="shared" si="23"/>
        <v>1.3648943950156238</v>
      </c>
      <c r="J136" s="34">
        <f t="shared" si="22"/>
        <v>22.229088266029887</v>
      </c>
      <c r="K136" s="78">
        <f t="shared" si="26"/>
        <v>0.80537982125138052</v>
      </c>
      <c r="L136" s="34">
        <f t="shared" si="24"/>
        <v>1.138846148755863</v>
      </c>
    </row>
    <row r="137" spans="5:12">
      <c r="E137" s="18"/>
      <c r="F137" s="18">
        <v>105</v>
      </c>
      <c r="G137" s="34">
        <f t="shared" si="25"/>
        <v>1.4140485255594686</v>
      </c>
      <c r="H137" s="78">
        <f t="shared" si="27"/>
        <v>4.6310600554228934E-2</v>
      </c>
      <c r="I137" s="34">
        <f t="shared" si="23"/>
        <v>1.3677379250052397</v>
      </c>
      <c r="J137" s="34">
        <f t="shared" si="22"/>
        <v>20.861350341024647</v>
      </c>
      <c r="K137" s="78">
        <f t="shared" si="26"/>
        <v>0.80370543492861257</v>
      </c>
      <c r="L137" s="34">
        <f t="shared" si="24"/>
        <v>1.1364784852449361</v>
      </c>
    </row>
    <row r="138" spans="5:12">
      <c r="E138" s="18"/>
      <c r="F138" s="18">
        <v>106</v>
      </c>
      <c r="G138" s="34">
        <f t="shared" si="25"/>
        <v>1.4140485255594686</v>
      </c>
      <c r="H138" s="78">
        <f t="shared" si="27"/>
        <v>4.3461146543801343E-2</v>
      </c>
      <c r="I138" s="34">
        <f t="shared" si="23"/>
        <v>1.3705873790156673</v>
      </c>
      <c r="J138" s="34">
        <f t="shared" si="22"/>
        <v>19.490762962008979</v>
      </c>
      <c r="K138" s="78">
        <f t="shared" si="26"/>
        <v>0.80203452965849065</v>
      </c>
      <c r="L138" s="34">
        <f t="shared" si="24"/>
        <v>1.1341157441113705</v>
      </c>
    </row>
    <row r="139" spans="5:12">
      <c r="E139" s="18"/>
      <c r="F139" s="18">
        <v>107</v>
      </c>
      <c r="G139" s="34">
        <f t="shared" si="25"/>
        <v>1.4140485255594686</v>
      </c>
      <c r="H139" s="78">
        <f t="shared" si="27"/>
        <v>4.0605756170852041E-2</v>
      </c>
      <c r="I139" s="34">
        <f t="shared" si="23"/>
        <v>1.3734427693886166</v>
      </c>
      <c r="J139" s="34">
        <f t="shared" si="22"/>
        <v>18.117320192620362</v>
      </c>
      <c r="K139" s="78">
        <f t="shared" si="26"/>
        <v>0.80036709820389895</v>
      </c>
      <c r="L139" s="34">
        <f t="shared" si="24"/>
        <v>1.1317579151215338</v>
      </c>
    </row>
    <row r="140" spans="5:12">
      <c r="E140" s="18"/>
      <c r="F140" s="18">
        <v>108</v>
      </c>
      <c r="G140" s="34">
        <f t="shared" si="25"/>
        <v>1.4140485255594686</v>
      </c>
      <c r="H140" s="78">
        <f t="shared" si="27"/>
        <v>3.7744417067959085E-2</v>
      </c>
      <c r="I140" s="34">
        <f t="shared" si="23"/>
        <v>1.3763041084915095</v>
      </c>
      <c r="J140" s="34">
        <f t="shared" si="22"/>
        <v>16.741016084128852</v>
      </c>
      <c r="K140" s="78">
        <f t="shared" si="26"/>
        <v>0.7987031333427681</v>
      </c>
      <c r="L140" s="34">
        <f t="shared" si="24"/>
        <v>1.1294049880630688</v>
      </c>
    </row>
    <row r="141" spans="5:12">
      <c r="E141" s="18"/>
      <c r="F141" s="18">
        <v>109</v>
      </c>
      <c r="G141" s="34">
        <f t="shared" si="25"/>
        <v>1.4140485255594686</v>
      </c>
      <c r="H141" s="78">
        <f t="shared" si="27"/>
        <v>3.4877116841935105E-2</v>
      </c>
      <c r="I141" s="34">
        <f t="shared" si="23"/>
        <v>1.3791714087175335</v>
      </c>
      <c r="J141" s="34">
        <f t="shared" si="22"/>
        <v>15.361844675411318</v>
      </c>
      <c r="K141" s="78">
        <f t="shared" si="26"/>
        <v>0.79704262786804292</v>
      </c>
      <c r="L141" s="34">
        <f t="shared" si="24"/>
        <v>1.1270569527448504</v>
      </c>
    </row>
    <row r="142" spans="5:12">
      <c r="E142" s="18"/>
      <c r="F142" s="18">
        <v>110</v>
      </c>
      <c r="G142" s="34">
        <f t="shared" si="25"/>
        <v>1.4140485255594686</v>
      </c>
      <c r="H142" s="78">
        <f t="shared" si="27"/>
        <v>3.2003843073773575E-2</v>
      </c>
      <c r="I142" s="34">
        <f t="shared" si="23"/>
        <v>1.3820446824856951</v>
      </c>
      <c r="J142" s="34">
        <f t="shared" si="22"/>
        <v>13.979799992925622</v>
      </c>
      <c r="K142" s="78">
        <f t="shared" si="26"/>
        <v>0.79538557458765191</v>
      </c>
      <c r="L142" s="34">
        <f t="shared" si="24"/>
        <v>1.12471379899694</v>
      </c>
    </row>
    <row r="143" spans="5:12">
      <c r="E143" s="18"/>
      <c r="F143" s="18">
        <v>111</v>
      </c>
      <c r="G143" s="34">
        <f t="shared" si="25"/>
        <v>1.4140485255594686</v>
      </c>
      <c r="H143" s="78">
        <f t="shared" si="27"/>
        <v>2.9124583318595045E-2</v>
      </c>
      <c r="I143" s="34">
        <f t="shared" si="23"/>
        <v>1.3849239422408735</v>
      </c>
      <c r="J143" s="34">
        <f t="shared" si="22"/>
        <v>12.59487605068475</v>
      </c>
      <c r="K143" s="78">
        <f t="shared" si="26"/>
        <v>0.79373196632447596</v>
      </c>
      <c r="L143" s="34">
        <f t="shared" si="24"/>
        <v>1.1223755166705429</v>
      </c>
    </row>
    <row r="144" spans="5:12">
      <c r="E144" s="18"/>
      <c r="F144" s="18">
        <v>112</v>
      </c>
      <c r="G144" s="34">
        <f t="shared" si="25"/>
        <v>1.4140485255594686</v>
      </c>
      <c r="H144" s="78">
        <f t="shared" si="27"/>
        <v>2.6239325105593229E-2</v>
      </c>
      <c r="I144" s="34">
        <f t="shared" si="23"/>
        <v>1.3878092004538753</v>
      </c>
      <c r="J144" s="34">
        <f t="shared" si="22"/>
        <v>11.207066850230875</v>
      </c>
      <c r="K144" s="78">
        <f t="shared" si="26"/>
        <v>0.79208179591631678</v>
      </c>
      <c r="L144" s="34">
        <f t="shared" si="24"/>
        <v>1.1200420956379638</v>
      </c>
    </row>
    <row r="145" spans="5:12">
      <c r="E145" s="18"/>
      <c r="F145" s="18">
        <v>113</v>
      </c>
      <c r="G145" s="34">
        <f t="shared" si="25"/>
        <v>1.4140485255594686</v>
      </c>
      <c r="H145" s="78">
        <f t="shared" si="27"/>
        <v>2.3348055937980991E-2</v>
      </c>
      <c r="I145" s="34">
        <f t="shared" si="23"/>
        <v>1.3907004696214875</v>
      </c>
      <c r="J145" s="34">
        <f t="shared" si="22"/>
        <v>9.8163663806093879</v>
      </c>
      <c r="K145" s="78">
        <f t="shared" si="26"/>
        <v>0.79043505621586685</v>
      </c>
      <c r="L145" s="34">
        <f t="shared" si="24"/>
        <v>1.1177135257925621</v>
      </c>
    </row>
    <row r="146" spans="5:12">
      <c r="E146" s="18"/>
      <c r="F146" s="18">
        <v>114</v>
      </c>
      <c r="G146" s="34">
        <f t="shared" si="25"/>
        <v>1.4140485255594686</v>
      </c>
      <c r="H146" s="78">
        <f t="shared" si="27"/>
        <v>2.0450763292936224E-2</v>
      </c>
      <c r="I146" s="34">
        <f t="shared" si="23"/>
        <v>1.3935977622665323</v>
      </c>
      <c r="J146" s="34">
        <f t="shared" si="22"/>
        <v>8.4227686183428556</v>
      </c>
      <c r="K146" s="78">
        <f t="shared" si="26"/>
        <v>0.78879174009067776</v>
      </c>
      <c r="L146" s="34">
        <f t="shared" si="24"/>
        <v>1.1153897970487106</v>
      </c>
    </row>
    <row r="147" spans="5:12">
      <c r="E147" s="18"/>
      <c r="F147" s="18">
        <v>115</v>
      </c>
      <c r="G147" s="34">
        <f t="shared" si="25"/>
        <v>1.4140485255594686</v>
      </c>
      <c r="H147" s="78">
        <f t="shared" si="27"/>
        <v>1.7547434621547616E-2</v>
      </c>
      <c r="I147" s="34">
        <f t="shared" si="23"/>
        <v>1.396501090937921</v>
      </c>
      <c r="J147" s="34">
        <f t="shared" si="22"/>
        <v>7.0262675274049347</v>
      </c>
      <c r="K147" s="78">
        <f t="shared" si="26"/>
        <v>0.78715184042312969</v>
      </c>
      <c r="L147" s="34">
        <f t="shared" si="24"/>
        <v>1.1130708993417486</v>
      </c>
    </row>
    <row r="148" spans="5:12">
      <c r="E148" s="18"/>
      <c r="F148" s="18">
        <v>116</v>
      </c>
      <c r="G148" s="34">
        <f t="shared" si="25"/>
        <v>1.4140485255594686</v>
      </c>
      <c r="H148" s="78">
        <f t="shared" si="27"/>
        <v>1.4638057348760281E-2</v>
      </c>
      <c r="I148" s="34">
        <f t="shared" si="23"/>
        <v>1.3994104682107082</v>
      </c>
      <c r="J148" s="34">
        <f t="shared" si="22"/>
        <v>5.6268570591942266</v>
      </c>
      <c r="K148" s="78">
        <f t="shared" si="26"/>
        <v>0.78551535011039963</v>
      </c>
      <c r="L148" s="34">
        <f t="shared" si="24"/>
        <v>1.1107568226279403</v>
      </c>
    </row>
    <row r="149" spans="5:12">
      <c r="E149" s="18"/>
      <c r="F149" s="18">
        <v>117</v>
      </c>
      <c r="G149" s="34">
        <f t="shared" si="25"/>
        <v>1.4140485255594686</v>
      </c>
      <c r="H149" s="78">
        <f t="shared" si="27"/>
        <v>1.1722618873321305E-2</v>
      </c>
      <c r="I149" s="34">
        <f t="shared" si="23"/>
        <v>1.4023259066861473</v>
      </c>
      <c r="J149" s="34">
        <f t="shared" si="22"/>
        <v>4.2245311525080798</v>
      </c>
      <c r="K149" s="78">
        <f t="shared" si="26"/>
        <v>0.78388226206443179</v>
      </c>
      <c r="L149" s="34">
        <f t="shared" si="24"/>
        <v>1.1084475568844308</v>
      </c>
    </row>
    <row r="150" spans="5:12">
      <c r="E150" s="18"/>
      <c r="F150" s="18">
        <v>118</v>
      </c>
      <c r="G150" s="34">
        <f t="shared" si="25"/>
        <v>1.4140485255594686</v>
      </c>
      <c r="H150" s="78">
        <f t="shared" si="27"/>
        <v>8.8011065677251667E-3</v>
      </c>
      <c r="I150" s="34">
        <f t="shared" si="23"/>
        <v>1.4052474189917434</v>
      </c>
      <c r="J150" s="34">
        <f t="shared" si="22"/>
        <v>2.8192837335163361</v>
      </c>
      <c r="K150" s="78">
        <f t="shared" si="26"/>
        <v>0.78225256921190689</v>
      </c>
      <c r="L150" s="34">
        <f t="shared" si="24"/>
        <v>1.106143092109203</v>
      </c>
    </row>
    <row r="151" spans="5:12">
      <c r="E151" s="18"/>
      <c r="F151" s="18">
        <v>119</v>
      </c>
      <c r="G151" s="34">
        <f t="shared" si="25"/>
        <v>1.4140485255594686</v>
      </c>
      <c r="H151" s="78">
        <f t="shared" si="27"/>
        <v>5.8735077781590338E-3</v>
      </c>
      <c r="I151" s="34">
        <f t="shared" si="23"/>
        <v>1.4081750177813095</v>
      </c>
      <c r="J151" s="34">
        <f t="shared" si="22"/>
        <v>1.4111087157350266</v>
      </c>
      <c r="K151" s="78">
        <f t="shared" si="26"/>
        <v>0.78062626449421058</v>
      </c>
      <c r="L151" s="34">
        <f t="shared" si="24"/>
        <v>1.1038434183210342</v>
      </c>
    </row>
    <row r="152" spans="5:12">
      <c r="E152" s="18"/>
      <c r="F152" s="18">
        <v>120</v>
      </c>
      <c r="G152" s="34">
        <f t="shared" si="25"/>
        <v>1.4140485255594686</v>
      </c>
      <c r="H152" s="78">
        <f t="shared" si="27"/>
        <v>2.939809824447972E-3</v>
      </c>
      <c r="I152" s="34">
        <f t="shared" si="23"/>
        <v>1.4111087157350206</v>
      </c>
      <c r="J152" s="34">
        <f t="shared" si="22"/>
        <v>5.9952043329758453E-15</v>
      </c>
      <c r="K152" s="78">
        <f t="shared" si="26"/>
        <v>0.7790033408674033</v>
      </c>
      <c r="L152" s="34">
        <f t="shared" si="24"/>
        <v>1.1015485255594517</v>
      </c>
    </row>
    <row r="153" spans="5:12">
      <c r="G153" s="21">
        <f>SUM(G32:G152)</f>
        <v>169.68582306713637</v>
      </c>
      <c r="H153" s="21">
        <f t="shared" ref="H153:I153" si="28">SUM(H32:H152)</f>
        <v>22.342400767781665</v>
      </c>
      <c r="I153" s="21">
        <f t="shared" si="28"/>
        <v>149.99999999999997</v>
      </c>
      <c r="J153" s="21"/>
      <c r="K153" s="21"/>
      <c r="L153" s="21">
        <f>SUM(L32:L152)</f>
        <v>149.99999999999892</v>
      </c>
    </row>
  </sheetData>
  <phoneticPr fontId="18" type="noConversion"/>
  <pageMargins left="0.7" right="0.7" top="0.78740157499999996" bottom="0.78740157499999996"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135"/>
  <sheetViews>
    <sheetView topLeftCell="A98" zoomScale="110" zoomScaleNormal="110" workbookViewId="0">
      <selection activeCell="B125" sqref="B125"/>
    </sheetView>
  </sheetViews>
  <sheetFormatPr defaultColWidth="9.21875" defaultRowHeight="12"/>
  <cols>
    <col min="1" max="1" width="37.21875" style="1" customWidth="1"/>
    <col min="2" max="2" width="20.21875" style="1" customWidth="1"/>
    <col min="3" max="3" width="29.77734375" style="1" customWidth="1"/>
    <col min="4" max="4" width="25.77734375" style="1" customWidth="1"/>
    <col min="5" max="31" width="9.21875" style="170"/>
    <col min="32" max="16384" width="9.21875" style="1"/>
  </cols>
  <sheetData>
    <row r="2" spans="1:5">
      <c r="A2" s="2" t="s">
        <v>6</v>
      </c>
      <c r="B2" s="2" t="s">
        <v>7</v>
      </c>
    </row>
    <row r="4" spans="1:5" ht="348.75" customHeight="1">
      <c r="A4" s="3" t="s">
        <v>8</v>
      </c>
      <c r="B4" s="179" t="s">
        <v>9</v>
      </c>
      <c r="C4" s="180"/>
      <c r="D4" s="4"/>
      <c r="E4" s="181"/>
    </row>
    <row r="5" spans="1:5">
      <c r="A5" s="2"/>
      <c r="B5" s="5"/>
      <c r="D5" s="4"/>
      <c r="E5" s="182"/>
    </row>
    <row r="6" spans="1:5">
      <c r="A6" s="2" t="s">
        <v>10</v>
      </c>
      <c r="B6" s="6" t="s">
        <v>11</v>
      </c>
      <c r="D6" s="4"/>
      <c r="E6" s="182"/>
    </row>
    <row r="7" spans="1:5">
      <c r="A7" s="2"/>
      <c r="B7" s="6"/>
      <c r="D7" s="4"/>
      <c r="E7" s="182"/>
    </row>
    <row r="8" spans="1:5">
      <c r="A8" s="2" t="s">
        <v>0</v>
      </c>
      <c r="B8" s="5"/>
      <c r="D8" s="4"/>
      <c r="E8" s="182"/>
    </row>
    <row r="9" spans="1:5">
      <c r="A9" s="184" t="s">
        <v>12</v>
      </c>
      <c r="B9" s="185"/>
      <c r="C9" s="185"/>
      <c r="D9" s="185"/>
      <c r="E9" s="183"/>
    </row>
    <row r="10" spans="1:5">
      <c r="A10" s="7" t="s">
        <v>13</v>
      </c>
      <c r="B10" s="7"/>
      <c r="C10" s="8"/>
      <c r="D10" s="8" t="s">
        <v>14</v>
      </c>
      <c r="E10" s="183"/>
    </row>
    <row r="11" spans="1:5">
      <c r="A11" s="1" t="s">
        <v>15</v>
      </c>
      <c r="B11" s="27">
        <v>150000</v>
      </c>
      <c r="C11" s="9" t="s">
        <v>16</v>
      </c>
      <c r="D11" s="10">
        <f>D12</f>
        <v>115000</v>
      </c>
      <c r="E11" s="183"/>
    </row>
    <row r="12" spans="1:5">
      <c r="B12" s="26"/>
      <c r="C12" s="11" t="s">
        <v>17</v>
      </c>
      <c r="D12" s="12">
        <v>115000</v>
      </c>
      <c r="E12" s="183"/>
    </row>
    <row r="13" spans="1:5">
      <c r="A13" s="1" t="s">
        <v>18</v>
      </c>
      <c r="B13" s="26">
        <v>20000</v>
      </c>
      <c r="C13" s="11"/>
      <c r="D13" s="13"/>
      <c r="E13" s="183"/>
    </row>
    <row r="14" spans="1:5">
      <c r="A14" s="1" t="s">
        <v>19</v>
      </c>
      <c r="B14" s="26">
        <v>10000</v>
      </c>
      <c r="C14" s="11"/>
      <c r="D14" s="13"/>
      <c r="E14" s="183"/>
    </row>
    <row r="15" spans="1:5">
      <c r="A15" s="1" t="s">
        <v>20</v>
      </c>
      <c r="B15" s="26">
        <v>5000</v>
      </c>
      <c r="C15" s="11"/>
      <c r="D15" s="13"/>
      <c r="E15" s="183"/>
    </row>
    <row r="16" spans="1:5">
      <c r="B16" s="26"/>
      <c r="C16" s="11" t="s">
        <v>21</v>
      </c>
      <c r="D16" s="12">
        <v>90000</v>
      </c>
      <c r="E16" s="183"/>
    </row>
    <row r="17" spans="1:31">
      <c r="A17" s="1" t="s">
        <v>22</v>
      </c>
      <c r="B17" s="26">
        <f>50000+65000+90000-150000-20000-10000-5000</f>
        <v>20000</v>
      </c>
      <c r="C17" s="11"/>
      <c r="D17" s="13"/>
      <c r="E17" s="183"/>
    </row>
    <row r="18" spans="1:31" ht="12.6" thickBot="1">
      <c r="B18" s="4"/>
      <c r="C18" s="11"/>
      <c r="D18" s="13"/>
      <c r="E18" s="183"/>
    </row>
    <row r="19" spans="1:31" ht="12.6" thickBot="1">
      <c r="A19" s="14"/>
      <c r="B19" s="25">
        <f>SUM(B11:B18)</f>
        <v>205000</v>
      </c>
      <c r="C19" s="15"/>
      <c r="D19" s="16">
        <f>D11+D16</f>
        <v>205000</v>
      </c>
    </row>
    <row r="21" spans="1:31" s="128" customFormat="1">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row>
    <row r="22" spans="1:31" s="128" customFormat="1">
      <c r="A22" s="129" t="s">
        <v>1</v>
      </c>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row>
    <row r="23" spans="1:31" s="128" customFormat="1">
      <c r="A23" s="186" t="s">
        <v>23</v>
      </c>
      <c r="B23" s="177"/>
      <c r="C23" s="177"/>
      <c r="D23" s="178"/>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row>
    <row r="24" spans="1:31" s="128" customFormat="1">
      <c r="A24" s="130" t="s">
        <v>13</v>
      </c>
      <c r="B24" s="130"/>
      <c r="C24" s="130"/>
      <c r="D24" s="131" t="s">
        <v>14</v>
      </c>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row>
    <row r="25" spans="1:31" s="128" customFormat="1">
      <c r="A25" s="132" t="s">
        <v>24</v>
      </c>
      <c r="B25" s="133">
        <v>90000</v>
      </c>
      <c r="C25" s="132" t="s">
        <v>25</v>
      </c>
      <c r="D25" s="134">
        <v>70000</v>
      </c>
      <c r="E25" s="171" t="s">
        <v>26</v>
      </c>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row>
    <row r="26" spans="1:31" s="128" customFormat="1">
      <c r="A26" s="132"/>
      <c r="B26" s="135"/>
      <c r="C26" s="132"/>
      <c r="D26" s="136"/>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row>
    <row r="27" spans="1:31" s="128" customFormat="1">
      <c r="A27" s="132"/>
      <c r="B27" s="135"/>
      <c r="C27" s="132"/>
      <c r="D27" s="136"/>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row>
    <row r="28" spans="1:31" s="128" customFormat="1">
      <c r="A28" s="132"/>
      <c r="B28" s="135"/>
      <c r="C28" s="137" t="s">
        <v>27</v>
      </c>
      <c r="D28" s="136">
        <f>B17</f>
        <v>20000</v>
      </c>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row>
    <row r="29" spans="1:31" s="128" customFormat="1" ht="13.2" customHeight="1">
      <c r="A29" s="132"/>
      <c r="B29" s="135"/>
      <c r="C29" s="132"/>
      <c r="D29" s="136"/>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row>
    <row r="30" spans="1:31" s="128" customFormat="1">
      <c r="A30" s="132"/>
      <c r="B30" s="135"/>
      <c r="C30" s="132"/>
      <c r="D30" s="136"/>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row>
    <row r="31" spans="1:31" s="128" customFormat="1">
      <c r="A31" s="132"/>
      <c r="B31" s="135"/>
      <c r="C31" s="132"/>
      <c r="D31" s="136"/>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row>
    <row r="32" spans="1:31" s="128" customFormat="1" ht="12.6" thickBot="1">
      <c r="A32" s="132"/>
      <c r="B32" s="135"/>
      <c r="C32" s="132"/>
      <c r="D32" s="136"/>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row>
    <row r="33" spans="1:31" s="128" customFormat="1" ht="12.6" thickBot="1">
      <c r="A33" s="138"/>
      <c r="B33" s="139">
        <f>SUM(B25:B32)</f>
        <v>90000</v>
      </c>
      <c r="C33" s="140"/>
      <c r="D33" s="141">
        <f>SUM(D25:D32)</f>
        <v>90000</v>
      </c>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row>
    <row r="34" spans="1:31" s="128" customFormat="1">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row>
    <row r="35" spans="1:31" s="128" customFormat="1">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row>
    <row r="36" spans="1:31" s="128" customFormat="1">
      <c r="A36" s="129" t="s">
        <v>2</v>
      </c>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row>
    <row r="37" spans="1:31" s="128" customFormat="1">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row>
    <row r="38" spans="1:31" s="128" customFormat="1">
      <c r="A38" s="132" t="s">
        <v>28</v>
      </c>
      <c r="B38" s="142">
        <v>120000</v>
      </c>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row>
    <row r="39" spans="1:31" s="128" customFormat="1">
      <c r="A39" s="132" t="s">
        <v>29</v>
      </c>
      <c r="B39" s="142">
        <f>B13+B14+B15</f>
        <v>35000</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row>
    <row r="40" spans="1:31" s="128" customFormat="1">
      <c r="A40" s="132" t="s">
        <v>30</v>
      </c>
      <c r="B40" s="142">
        <v>10000</v>
      </c>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row>
    <row r="41" spans="1:31" s="128" customFormat="1">
      <c r="A41" s="132" t="s">
        <v>31</v>
      </c>
      <c r="B41" s="142">
        <f>D16*0.07</f>
        <v>6300.0000000000009</v>
      </c>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row>
    <row r="42" spans="1:31" s="128" customFormat="1">
      <c r="A42" s="143" t="s">
        <v>32</v>
      </c>
      <c r="B42" s="144">
        <f>B11*0.25</f>
        <v>37500</v>
      </c>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row>
    <row r="43" spans="1:31" s="128" customFormat="1">
      <c r="A43" s="132" t="s">
        <v>33</v>
      </c>
      <c r="B43" s="142">
        <f>B38-B39-B40-B42-B41</f>
        <v>31200</v>
      </c>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row>
    <row r="44" spans="1:31" s="128" customFormat="1">
      <c r="A44" s="132"/>
      <c r="B44" s="135"/>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row>
    <row r="45" spans="1:31" s="128" customFormat="1">
      <c r="A45" s="143" t="s">
        <v>34</v>
      </c>
      <c r="B45" s="144">
        <f>B43*0.28</f>
        <v>8736</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row>
    <row r="46" spans="1:31" s="128" customFormat="1">
      <c r="A46" s="145" t="s">
        <v>35</v>
      </c>
      <c r="B46" s="146">
        <f>B43-B45</f>
        <v>22464</v>
      </c>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row>
    <row r="47" spans="1:31" s="128" customFormat="1">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row>
    <row r="48" spans="1:31" s="128" customFormat="1" ht="12.6" thickBot="1">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row>
    <row r="49" spans="1:31" s="128" customFormat="1">
      <c r="A49" s="147" t="s">
        <v>3</v>
      </c>
      <c r="B49" s="148"/>
      <c r="C49" s="148"/>
      <c r="D49" s="149"/>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row>
    <row r="50" spans="1:31" s="128" customFormat="1">
      <c r="A50" s="176" t="s">
        <v>12</v>
      </c>
      <c r="B50" s="177"/>
      <c r="C50" s="177"/>
      <c r="D50" s="178"/>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row>
    <row r="51" spans="1:31" s="128" customFormat="1">
      <c r="A51" s="150" t="s">
        <v>13</v>
      </c>
      <c r="B51" s="130"/>
      <c r="C51" s="130"/>
      <c r="D51" s="131" t="s">
        <v>14</v>
      </c>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row>
    <row r="52" spans="1:31" s="128" customFormat="1">
      <c r="A52" s="151" t="s">
        <v>15</v>
      </c>
      <c r="B52" s="152">
        <f>150000-0.25*150000</f>
        <v>112500</v>
      </c>
      <c r="C52" s="153" t="s">
        <v>16</v>
      </c>
      <c r="D52" s="154">
        <f>D53+D54</f>
        <v>137464</v>
      </c>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row>
    <row r="53" spans="1:31" s="128" customFormat="1">
      <c r="A53" s="151"/>
      <c r="B53" s="135"/>
      <c r="C53" s="155" t="s">
        <v>36</v>
      </c>
      <c r="D53" s="134">
        <v>115000</v>
      </c>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row>
    <row r="54" spans="1:31" s="128" customFormat="1">
      <c r="A54" s="151" t="s">
        <v>18</v>
      </c>
      <c r="B54" s="135">
        <v>0</v>
      </c>
      <c r="C54" s="132" t="s">
        <v>37</v>
      </c>
      <c r="D54" s="134">
        <f>B46</f>
        <v>22464</v>
      </c>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row>
    <row r="55" spans="1:31" s="128" customFormat="1">
      <c r="A55" s="151" t="s">
        <v>19</v>
      </c>
      <c r="B55" s="135">
        <v>0</v>
      </c>
      <c r="C55" s="132"/>
      <c r="D55" s="136"/>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row>
    <row r="56" spans="1:31" s="128" customFormat="1">
      <c r="A56" s="151" t="s">
        <v>20</v>
      </c>
      <c r="B56" s="135">
        <v>0</v>
      </c>
      <c r="C56" s="132"/>
      <c r="D56" s="136"/>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row>
    <row r="57" spans="1:31" s="128" customFormat="1">
      <c r="A57" s="151"/>
      <c r="B57" s="135"/>
      <c r="C57" s="132" t="s">
        <v>21</v>
      </c>
      <c r="D57" s="134">
        <f>90000-0.1*90000</f>
        <v>81000</v>
      </c>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row>
    <row r="58" spans="1:31" s="128" customFormat="1">
      <c r="A58" s="151" t="s">
        <v>22</v>
      </c>
      <c r="B58" s="156">
        <f>B17+B74</f>
        <v>105964</v>
      </c>
      <c r="C58" s="132"/>
      <c r="D58" s="136"/>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row>
    <row r="59" spans="1:31" s="128" customFormat="1" ht="12.6" thickBot="1">
      <c r="A59" s="151"/>
      <c r="B59" s="135"/>
      <c r="C59" s="132"/>
      <c r="D59" s="136"/>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row>
    <row r="60" spans="1:31" s="128" customFormat="1" ht="12.6" thickBot="1">
      <c r="A60" s="138"/>
      <c r="B60" s="139">
        <f>SUM(B52:B59)</f>
        <v>218464</v>
      </c>
      <c r="C60" s="140"/>
      <c r="D60" s="141">
        <f>D52+D57</f>
        <v>218464</v>
      </c>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row>
    <row r="61" spans="1:31" s="128" customFormat="1">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row>
    <row r="62" spans="1:31" s="128" customFormat="1">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row>
    <row r="63" spans="1:31" s="127" customFormat="1" ht="12.6" thickBot="1">
      <c r="A63" s="128"/>
      <c r="B63" s="128"/>
      <c r="C63" s="128"/>
      <c r="D63" s="128"/>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row>
    <row r="64" spans="1:31" s="127" customFormat="1">
      <c r="A64" s="147" t="s">
        <v>4</v>
      </c>
      <c r="B64" s="148"/>
      <c r="C64" s="148"/>
      <c r="D64" s="149"/>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row>
    <row r="65" spans="1:31" s="127" customFormat="1">
      <c r="A65" s="157" t="s">
        <v>38</v>
      </c>
      <c r="B65" s="132"/>
      <c r="C65" s="162" t="s">
        <v>39</v>
      </c>
      <c r="D65" s="136"/>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row>
    <row r="66" spans="1:31" s="127" customFormat="1">
      <c r="A66" s="151" t="s">
        <v>28</v>
      </c>
      <c r="B66" s="158">
        <v>120000</v>
      </c>
      <c r="C66" s="132" t="s">
        <v>40</v>
      </c>
      <c r="D66" s="163">
        <f>B46</f>
        <v>22464</v>
      </c>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row>
    <row r="67" spans="1:31" s="127" customFormat="1">
      <c r="A67" s="151" t="s">
        <v>30</v>
      </c>
      <c r="B67" s="159">
        <v>10000</v>
      </c>
      <c r="C67" s="132" t="s">
        <v>32</v>
      </c>
      <c r="D67" s="163">
        <f>B42</f>
        <v>37500</v>
      </c>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row>
    <row r="68" spans="1:31" s="127" customFormat="1">
      <c r="A68" s="151" t="s">
        <v>31</v>
      </c>
      <c r="B68" s="159">
        <f>D16*0.07</f>
        <v>6300.0000000000009</v>
      </c>
      <c r="C68" s="132" t="s">
        <v>41</v>
      </c>
      <c r="D68" s="163">
        <f>-(B54+B55+B56-B13-B14-B15)</f>
        <v>35000</v>
      </c>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row>
    <row r="69" spans="1:31" s="127" customFormat="1">
      <c r="A69" s="151" t="s">
        <v>42</v>
      </c>
      <c r="B69" s="158">
        <f>B45</f>
        <v>8736</v>
      </c>
      <c r="C69" s="132" t="s">
        <v>43</v>
      </c>
      <c r="D69" s="163">
        <f>B70</f>
        <v>9000</v>
      </c>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row>
    <row r="70" spans="1:31" s="127" customFormat="1">
      <c r="A70" s="151" t="s">
        <v>43</v>
      </c>
      <c r="B70" s="159">
        <f>90000-D57</f>
        <v>9000</v>
      </c>
      <c r="C70" s="132"/>
      <c r="D70" s="136"/>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row>
    <row r="71" spans="1:31" s="127" customFormat="1">
      <c r="A71" s="151"/>
      <c r="B71" s="159"/>
      <c r="C71" s="132"/>
      <c r="D71" s="136"/>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row>
    <row r="72" spans="1:31" s="127" customFormat="1">
      <c r="A72" s="151"/>
      <c r="B72" s="132"/>
      <c r="C72" s="132"/>
      <c r="D72" s="136"/>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70"/>
    </row>
    <row r="73" spans="1:31" s="127" customFormat="1" ht="14.25" customHeight="1" thickBot="1">
      <c r="A73" s="160"/>
      <c r="B73" s="161"/>
      <c r="C73" s="161"/>
      <c r="D73" s="164"/>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row>
    <row r="74" spans="1:31" s="127" customFormat="1" ht="12.6" thickBot="1">
      <c r="A74" s="165" t="s">
        <v>44</v>
      </c>
      <c r="B74" s="166">
        <f>B66-B67-B68-B69-B70-B72</f>
        <v>85964</v>
      </c>
      <c r="C74" s="140" t="s">
        <v>44</v>
      </c>
      <c r="D74" s="141">
        <f>D66+D67+D68-D69</f>
        <v>85964</v>
      </c>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row>
    <row r="75" spans="1:31" s="127" customFormat="1">
      <c r="A75" s="128"/>
      <c r="B75" s="128"/>
      <c r="C75" s="128"/>
      <c r="D75" s="128"/>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row>
    <row r="76" spans="1:31" s="127" customFormat="1">
      <c r="A76" s="128"/>
      <c r="B76" s="128"/>
      <c r="C76" s="128"/>
      <c r="D76" s="128"/>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row>
    <row r="77" spans="1:31" s="128" customFormat="1">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row>
    <row r="78" spans="1:31" s="128" customFormat="1" ht="12.6" thickBot="1">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row>
    <row r="79" spans="1:31" s="128" customFormat="1">
      <c r="A79" s="147" t="s">
        <v>5</v>
      </c>
      <c r="B79" s="148"/>
      <c r="C79" s="148"/>
      <c r="D79" s="149"/>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row>
    <row r="80" spans="1:31" s="128" customFormat="1">
      <c r="A80" s="176" t="s">
        <v>23</v>
      </c>
      <c r="B80" s="177"/>
      <c r="C80" s="177"/>
      <c r="D80" s="178"/>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row>
    <row r="81" spans="1:31" s="128" customFormat="1">
      <c r="A81" s="150" t="s">
        <v>13</v>
      </c>
      <c r="B81" s="130"/>
      <c r="C81" s="130"/>
      <c r="D81" s="131" t="s">
        <v>14</v>
      </c>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row>
    <row r="82" spans="1:31" s="128" customFormat="1">
      <c r="A82" s="151" t="s">
        <v>24</v>
      </c>
      <c r="B82" s="133">
        <v>81000</v>
      </c>
      <c r="C82" s="132" t="s">
        <v>45</v>
      </c>
      <c r="D82" s="134">
        <f>B82*0.08</f>
        <v>6480</v>
      </c>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row>
    <row r="83" spans="1:31" s="128" customFormat="1">
      <c r="A83" s="151"/>
      <c r="B83" s="135"/>
      <c r="C83" s="132"/>
      <c r="D83" s="136"/>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row>
    <row r="84" spans="1:31" s="128" customFormat="1">
      <c r="A84" s="151"/>
      <c r="B84" s="135"/>
      <c r="C84" s="132"/>
      <c r="D84" s="136"/>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row>
    <row r="85" spans="1:31" s="128" customFormat="1">
      <c r="A85" s="151"/>
      <c r="B85" s="135"/>
      <c r="C85" s="137" t="s">
        <v>27</v>
      </c>
      <c r="D85" s="134">
        <f>B58</f>
        <v>105964</v>
      </c>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row>
    <row r="86" spans="1:31" s="128" customFormat="1">
      <c r="A86" s="151" t="s">
        <v>47</v>
      </c>
      <c r="B86" s="156">
        <f>D90-B82</f>
        <v>31444</v>
      </c>
      <c r="C86" s="132"/>
      <c r="D86" s="136"/>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row>
    <row r="87" spans="1:31" s="128" customFormat="1">
      <c r="A87" s="151"/>
      <c r="B87" s="135"/>
      <c r="C87" s="132"/>
      <c r="D87" s="136"/>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row>
    <row r="88" spans="1:31" s="128" customFormat="1">
      <c r="A88" s="151"/>
      <c r="B88" s="135"/>
      <c r="C88" s="132"/>
      <c r="D88" s="136"/>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row>
    <row r="89" spans="1:31" s="128" customFormat="1" ht="12.6" thickBot="1">
      <c r="A89" s="160"/>
      <c r="B89" s="167"/>
      <c r="C89" s="161"/>
      <c r="D89" s="164"/>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row>
    <row r="90" spans="1:31" s="128" customFormat="1" ht="12.6" thickBot="1">
      <c r="A90" s="138"/>
      <c r="B90" s="168">
        <f>SUM(B82:B89)</f>
        <v>112444</v>
      </c>
      <c r="C90" s="140"/>
      <c r="D90" s="141">
        <f>SUM(D82:D89)</f>
        <v>112444</v>
      </c>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row>
    <row r="91" spans="1:31" s="128" customFormat="1">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row>
    <row r="92" spans="1:31" s="128" customFormat="1">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row>
    <row r="93" spans="1:31" s="170" customFormat="1"/>
    <row r="94" spans="1:31" s="170" customFormat="1"/>
    <row r="95" spans="1:31" s="170" customFormat="1"/>
    <row r="96" spans="1:31" s="170" customFormat="1"/>
    <row r="97" s="170" customFormat="1"/>
    <row r="98" s="170" customFormat="1"/>
    <row r="99" s="170" customFormat="1"/>
    <row r="100" s="170" customFormat="1"/>
    <row r="101" s="170" customFormat="1"/>
    <row r="102" s="170" customFormat="1"/>
    <row r="103" s="170" customFormat="1"/>
    <row r="104" s="170" customFormat="1"/>
    <row r="105" s="170" customFormat="1"/>
    <row r="106" s="170" customFormat="1"/>
    <row r="107" s="170" customFormat="1"/>
    <row r="108" s="170" customFormat="1"/>
    <row r="109" s="170" customFormat="1"/>
    <row r="110" s="170" customFormat="1"/>
    <row r="111" s="170" customFormat="1"/>
    <row r="112" s="170" customFormat="1"/>
    <row r="113" s="170" customFormat="1"/>
    <row r="114" s="170" customFormat="1"/>
    <row r="115" s="170" customFormat="1"/>
    <row r="116" s="170" customFormat="1"/>
    <row r="117" s="170" customFormat="1"/>
    <row r="118" s="170" customFormat="1"/>
    <row r="119" s="170" customFormat="1"/>
    <row r="120" s="170" customFormat="1"/>
    <row r="121" s="170" customFormat="1"/>
    <row r="122" s="170" customFormat="1"/>
    <row r="123" s="170" customFormat="1"/>
    <row r="124" s="170" customFormat="1"/>
    <row r="125" s="170" customFormat="1"/>
    <row r="126" s="170" customFormat="1"/>
    <row r="127" s="170" customFormat="1"/>
    <row r="128" s="170" customFormat="1"/>
    <row r="129" s="170" customFormat="1"/>
    <row r="130" s="170" customFormat="1"/>
    <row r="131" s="170" customFormat="1"/>
    <row r="132" s="170" customFormat="1"/>
    <row r="133" s="170" customFormat="1"/>
    <row r="134" s="170" customFormat="1"/>
    <row r="135" s="170" customFormat="1"/>
  </sheetData>
  <mergeCells count="6">
    <mergeCell ref="A80:D80"/>
    <mergeCell ref="B4:C4"/>
    <mergeCell ref="E4:E18"/>
    <mergeCell ref="A9:D9"/>
    <mergeCell ref="A23:D23"/>
    <mergeCell ref="A50:D50"/>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E9CB-CAC3-4EDB-B9A4-C66A008CC319}">
  <dimension ref="A1"/>
  <sheetViews>
    <sheetView workbookViewId="0"/>
  </sheetViews>
  <sheetFormatPr defaultRowHeight="14.4"/>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L01_Balance sheet</vt:lpstr>
      <vt:lpstr>T01_Yield curve</vt:lpstr>
      <vt:lpstr>T01 Example I</vt:lpstr>
      <vt:lpstr>T01 Example II</vt:lpstr>
      <vt:lpstr>T01 i.r. Compounding</vt:lpstr>
      <vt:lpstr>L02T02 Example I</vt:lpstr>
      <vt:lpstr>J&amp;J</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Pečená Magda</dc:creator>
  <cp:lastModifiedBy>Blahoslav Rejent</cp:lastModifiedBy>
  <cp:lastPrinted>2019-10-06T11:17:01Z</cp:lastPrinted>
  <dcterms:created xsi:type="dcterms:W3CDTF">2014-04-08T12:46:36Z</dcterms:created>
  <dcterms:modified xsi:type="dcterms:W3CDTF">2021-03-15T13:24:04Z</dcterms:modified>
</cp:coreProperties>
</file>