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lahoslav Rejent\Desktop\Magda\Banking_2020\"/>
    </mc:Choice>
  </mc:AlternateContent>
  <xr:revisionPtr revIDLastSave="0" documentId="13_ncr:1_{094539A3-7955-4655-A760-1BAD200D8FDD}" xr6:coauthVersionLast="45" xr6:coauthVersionMax="45" xr10:uidLastSave="{00000000-0000-0000-0000-000000000000}"/>
  <bookViews>
    <workbookView xWindow="-108" yWindow="-108" windowWidth="23256" windowHeight="12720" firstSheet="7" activeTab="10" xr2:uid="{00000000-000D-0000-FFFF-FFFF00000000}"/>
  </bookViews>
  <sheets>
    <sheet name="B1old" sheetId="28" state="hidden" r:id="rId1"/>
    <sheet name="B2old" sheetId="27" state="hidden" r:id="rId2"/>
    <sheet name="B3old" sheetId="29" state="hidden" r:id="rId3"/>
    <sheet name="B4old" sheetId="26" state="hidden" r:id="rId4"/>
    <sheet name="B5old" sheetId="23" state="hidden" r:id="rId5"/>
    <sheet name="B6old" sheetId="30" state="hidden" r:id="rId6"/>
    <sheet name="B6aold" sheetId="31" state="hidden" r:id="rId7"/>
    <sheet name="Example_1" sheetId="48" r:id="rId8"/>
    <sheet name="Yield curve" sheetId="52" r:id="rId9"/>
    <sheet name="Example 2 - opening balance" sheetId="54" r:id="rId10"/>
    <sheet name="Example 2" sheetId="51" r:id="rId11"/>
    <sheet name="B6" sheetId="39" state="hidden" r:id="rId12"/>
    <sheet name="B total" sheetId="36" state="hidden" r:id="rId13"/>
    <sheet name="ICBDvhLIST" sheetId="44" state="veryHidden" r:id="rId14"/>
  </sheets>
  <externalReferences>
    <externalReference r:id="rId15"/>
  </externalReferences>
  <definedNames>
    <definedName name="_RAD5">[1]ŘADA!$D$5</definedName>
    <definedName name="A99I">[1]LIST!$B$121:$B$182</definedName>
    <definedName name="JedenRadekPodSestavou">#REF!</definedName>
    <definedName name="JedenRadekVedleSestavy">#REF!</definedName>
    <definedName name="MaxOblastTabulky">#REF!</definedName>
    <definedName name="n" hidden="1">{"Str.1",#N/A,FALSE,"Aktiva";"Str.2",#N/A,FALSE,"Aktiva";"Str.3",#N/A,FALSE,"Aktiva";"Str.4",#N/A,FALSE,"Aktiva";"Str.5",#N/A,FALSE,"Aktiva";"str1",#N/A,FALSE,"Pasíva";"str2",#N/A,FALSE,"Pasíva";"str3",#N/A,FALSE,"Pasíva";"str4",#N/A,FALSE,"Pasíva";#N/A,#N/A,FALSE,"Dopl. k pasívům";"str1",#N/A,FALSE,"Podrozvaha-aktiva";"str2",#N/A,FALSE,"Podrozvaha-aktiva";"str1",#N/A,FALSE,"Podrozvaha-pasíva";"str2",#N/A,FALSE,"Podrozvaha-pasíva";"str3",#N/A,FALSE,"Podrozvaha-pasíva"}</definedName>
    <definedName name="_xlnm.Print_Area">#REF!</definedName>
    <definedName name="OblastDat2">#REF!</definedName>
    <definedName name="OblastNadpisuRadku">#REF!</definedName>
    <definedName name="OblastNadpisuSloupcu">#REF!</definedName>
    <definedName name="OLE_LINK1" localSheetId="5">B6old!$A$1</definedName>
    <definedName name="RozsahHlavicekSouboruu">ICBDvhLIST!$A$1:$IU$5</definedName>
    <definedName name="wrn.Presentační._.sestava." hidden="1">{"Str.1",#N/A,FALSE,"Aktiva";"Str.2",#N/A,FALSE,"Aktiva";"Str.3",#N/A,FALSE,"Aktiva";"Str.4",#N/A,FALSE,"Aktiva";"Str.5",#N/A,FALSE,"Aktiva";"str1",#N/A,FALSE,"Pasíva";"str2",#N/A,FALSE,"Pasíva";"str3",#N/A,FALSE,"Pasíva";"str4",#N/A,FALSE,"Pasíva";#N/A,#N/A,FALSE,"Dopl. k pasívům";"str1",#N/A,FALSE,"Podrozvaha-aktiva";"str2",#N/A,FALSE,"Podrozvaha-aktiva";"str1",#N/A,FALSE,"Podrozvaha-pasíva";"str2",#N/A,FALSE,"Podrozvaha-pasíva";"str3",#N/A,FALSE,"Podrozvaha-pasíva"}</definedName>
    <definedName name="wrn.RISIFE40." hidden="1">{"ris40_10_01",#N/A,TRUE,"RIS40_10";"ris40_10_02",#N/A,TRUE,"RIS40_10";"ris40_20_01",#N/A,TRUE,"RIS40_20";"ris40_20_02",#N/A,TRUE,"RIS40_20";"ris40_20_03",#N/A,TRUE,"RIS40_20";"ris40_30_01",#N/A,TRUE,"RIS40_30";"ris40_30_02",#N/A,TRUE,"RIS40_30"}</definedName>
    <definedName name="wrn.Tab02." hidden="1">{#N/A,#N/A,TRUE,"Tab0201";#N/A,#N/A,TRUE,"Tab0202";#N/A,#N/A,TRUE,"Tab0203"}</definedName>
    <definedName name="wrn.tab05." hidden="1">{#N/A,#N/A,FALSE,"Tab0501";#N/A,#N/A,FALSE,"Tab0502";#N/A,#N/A,FALSE,"Tab0503";#N/A,#N/A,FALSE,"Tab0504";#N/A,#N/A,FALSE,"Tab0505"}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51" l="1"/>
  <c r="E50" i="51"/>
  <c r="C17" i="51"/>
  <c r="U17" i="51" l="1"/>
  <c r="T17" i="51"/>
  <c r="S17" i="51"/>
  <c r="R17" i="51"/>
  <c r="U16" i="51"/>
  <c r="T16" i="51"/>
  <c r="S16" i="51"/>
  <c r="R16" i="51"/>
  <c r="T9" i="51"/>
  <c r="T10" i="51"/>
  <c r="T11" i="51"/>
  <c r="T8" i="51"/>
  <c r="S9" i="51"/>
  <c r="S10" i="51"/>
  <c r="S11" i="51"/>
  <c r="S8" i="51"/>
  <c r="K51" i="51"/>
  <c r="L51" i="51" s="1"/>
  <c r="K50" i="51"/>
  <c r="K49" i="51"/>
  <c r="M49" i="51" s="1"/>
  <c r="F60" i="51" s="1"/>
  <c r="K48" i="51"/>
  <c r="L48" i="51"/>
  <c r="C62" i="51"/>
  <c r="F61" i="51"/>
  <c r="E61" i="51"/>
  <c r="B59" i="51"/>
  <c r="C52" i="51"/>
  <c r="F51" i="51"/>
  <c r="E51" i="51"/>
  <c r="B49" i="51"/>
  <c r="B40" i="51"/>
  <c r="H40" i="51"/>
  <c r="G40" i="51"/>
  <c r="B37" i="51"/>
  <c r="H39" i="51"/>
  <c r="B39" i="51" s="1"/>
  <c r="G39" i="51"/>
  <c r="F39" i="51"/>
  <c r="E39" i="51"/>
  <c r="B31" i="51"/>
  <c r="B30" i="51"/>
  <c r="B29" i="51"/>
  <c r="B28" i="51"/>
  <c r="B27" i="51"/>
  <c r="E29" i="51"/>
  <c r="F40" i="51"/>
  <c r="E40" i="51"/>
  <c r="C41" i="51"/>
  <c r="B38" i="51"/>
  <c r="F30" i="51"/>
  <c r="E30" i="51"/>
  <c r="F19" i="51"/>
  <c r="E18" i="51"/>
  <c r="E8" i="51"/>
  <c r="B17" i="51"/>
  <c r="E19" i="51"/>
  <c r="C20" i="51"/>
  <c r="F9" i="51"/>
  <c r="E9" i="51"/>
  <c r="C7" i="51"/>
  <c r="B7" i="51" s="1"/>
  <c r="D6" i="54"/>
  <c r="B6" i="54"/>
  <c r="M50" i="51" l="1"/>
  <c r="B50" i="51"/>
  <c r="L50" i="51"/>
  <c r="M51" i="51"/>
  <c r="L49" i="51"/>
  <c r="B48" i="51" s="1"/>
  <c r="C31" i="51"/>
  <c r="C10" i="51"/>
  <c r="C3" i="52"/>
  <c r="C2" i="52"/>
  <c r="D21" i="48"/>
  <c r="F3" i="48"/>
  <c r="F5" i="48"/>
  <c r="B21" i="48"/>
  <c r="B9" i="48"/>
  <c r="B4" i="48"/>
  <c r="B8" i="48"/>
  <c r="B58" i="51" l="1"/>
  <c r="B51" i="51"/>
  <c r="B52" i="51" s="1"/>
  <c r="H61" i="51"/>
  <c r="H60" i="51"/>
  <c r="G61" i="51"/>
  <c r="G60" i="51"/>
  <c r="B41" i="51"/>
  <c r="F7" i="48"/>
  <c r="H7" i="48" s="1"/>
  <c r="B5" i="48"/>
  <c r="D5" i="48" s="1"/>
  <c r="H4" i="48"/>
  <c r="H6" i="48"/>
  <c r="H8" i="48"/>
  <c r="H9" i="48"/>
  <c r="H3" i="48"/>
  <c r="H5" i="48"/>
  <c r="D7" i="48"/>
  <c r="D10" i="48"/>
  <c r="D11" i="48"/>
  <c r="D3" i="48"/>
  <c r="D9" i="48"/>
  <c r="D8" i="48"/>
  <c r="B6" i="48"/>
  <c r="D6" i="48" s="1"/>
  <c r="D4" i="48"/>
  <c r="K30" i="51"/>
  <c r="K29" i="51"/>
  <c r="K28" i="51"/>
  <c r="K27" i="51"/>
  <c r="L27" i="51" s="1"/>
  <c r="M7" i="51"/>
  <c r="L7" i="51"/>
  <c r="L6" i="51"/>
  <c r="M5" i="51"/>
  <c r="L5" i="51"/>
  <c r="L4" i="51"/>
  <c r="B60" i="51" l="1"/>
  <c r="B61" i="51"/>
  <c r="H19" i="51"/>
  <c r="H18" i="51"/>
  <c r="F18" i="51"/>
  <c r="B16" i="51"/>
  <c r="B9" i="51"/>
  <c r="B8" i="51"/>
  <c r="M6" i="51"/>
  <c r="M30" i="51"/>
  <c r="M28" i="51"/>
  <c r="M29" i="51" s="1"/>
  <c r="B6" i="51"/>
  <c r="D16" i="48"/>
  <c r="H16" i="48"/>
  <c r="L28" i="51"/>
  <c r="L29" i="51"/>
  <c r="L30" i="51"/>
  <c r="B62" i="51" l="1"/>
  <c r="G18" i="51"/>
  <c r="B18" i="51" s="1"/>
  <c r="G19" i="51"/>
  <c r="B10" i="51"/>
  <c r="D18" i="48"/>
  <c r="G13" i="48"/>
  <c r="C13" i="48"/>
  <c r="B19" i="51" l="1"/>
  <c r="B20" i="51" s="1"/>
  <c r="E8" i="36" l="1"/>
  <c r="D25" i="27"/>
  <c r="D30" i="27" s="1"/>
  <c r="D27" i="27"/>
  <c r="D32" i="27"/>
  <c r="E23" i="26"/>
  <c r="E24" i="26"/>
  <c r="E25" i="26"/>
  <c r="D30" i="26"/>
  <c r="O41" i="23"/>
  <c r="O43" i="23" s="1"/>
  <c r="O48" i="23"/>
  <c r="D8" i="39"/>
  <c r="D9" i="39"/>
  <c r="C10" i="39"/>
  <c r="C8" i="39" s="1"/>
  <c r="D10" i="39"/>
  <c r="D15" i="39"/>
  <c r="E15" i="39" s="1"/>
  <c r="C16" i="39"/>
  <c r="D25" i="39"/>
  <c r="E25" i="39"/>
  <c r="I25" i="39"/>
  <c r="L25" i="39"/>
  <c r="D26" i="39"/>
  <c r="E26" i="39"/>
  <c r="D27" i="39"/>
  <c r="E27" i="39" s="1"/>
  <c r="E28" i="39" s="1"/>
  <c r="L24" i="39" s="1"/>
  <c r="C33" i="39"/>
  <c r="E36" i="39" s="1"/>
  <c r="F36" i="39"/>
  <c r="D41" i="39" s="1"/>
  <c r="C28" i="31"/>
  <c r="D42" i="31" s="1"/>
  <c r="E35" i="31"/>
  <c r="C30" i="31"/>
  <c r="D34" i="31" s="1"/>
  <c r="C28" i="30"/>
  <c r="D42" i="30" s="1"/>
  <c r="C30" i="30"/>
  <c r="D34" i="30" s="1"/>
  <c r="F34" i="30" s="1"/>
  <c r="E34" i="30"/>
  <c r="E35" i="30"/>
  <c r="E36" i="30"/>
  <c r="E2" i="36"/>
  <c r="E12" i="36"/>
  <c r="E16" i="36"/>
  <c r="E21" i="36"/>
  <c r="E25" i="36"/>
  <c r="C9" i="39"/>
  <c r="E9" i="39" s="1"/>
  <c r="E34" i="31" l="1"/>
  <c r="F34" i="31" s="1"/>
  <c r="G34" i="31" s="1"/>
  <c r="E8" i="39"/>
  <c r="F26" i="39"/>
  <c r="E31" i="36"/>
  <c r="D35" i="31"/>
  <c r="F35" i="31" s="1"/>
  <c r="G35" i="31" s="1"/>
  <c r="O46" i="23"/>
  <c r="O50" i="23" s="1"/>
  <c r="O52" i="23" s="1"/>
  <c r="O55" i="23" s="1"/>
  <c r="D36" i="31"/>
  <c r="E36" i="31"/>
  <c r="E10" i="39"/>
  <c r="E11" i="39" s="1"/>
  <c r="D36" i="30"/>
  <c r="F36" i="30" s="1"/>
  <c r="G36" i="30" s="1"/>
  <c r="D16" i="39"/>
  <c r="E16" i="39" s="1"/>
  <c r="E27" i="26"/>
  <c r="G34" i="30"/>
  <c r="F27" i="39"/>
  <c r="F25" i="39"/>
  <c r="D35" i="30"/>
  <c r="F35" i="30" s="1"/>
  <c r="G35" i="30" s="1"/>
  <c r="F9" i="39" l="1"/>
  <c r="F8" i="39"/>
  <c r="E17" i="39"/>
  <c r="F15" i="39" s="1"/>
  <c r="F16" i="39"/>
  <c r="F11" i="39"/>
  <c r="D40" i="39" s="1"/>
  <c r="F36" i="31"/>
  <c r="F10" i="39"/>
  <c r="F40" i="30"/>
  <c r="F28" i="39"/>
  <c r="I24" i="39" s="1"/>
  <c r="I26" i="39" s="1"/>
  <c r="G40" i="30"/>
  <c r="H41" i="30" l="1"/>
  <c r="H42" i="30" s="1"/>
  <c r="C46" i="30" s="1"/>
  <c r="F17" i="39"/>
  <c r="D39" i="39" s="1"/>
  <c r="D42" i="39"/>
  <c r="G36" i="31"/>
  <c r="G40" i="31" s="1"/>
  <c r="F40" i="31"/>
  <c r="H41" i="31" l="1"/>
  <c r="H42" i="31" s="1"/>
  <c r="C46" i="31" s="1"/>
</calcChain>
</file>

<file path=xl/sharedStrings.xml><?xml version="1.0" encoding="utf-8"?>
<sst xmlns="http://schemas.openxmlformats.org/spreadsheetml/2006/main" count="346" uniqueCount="179">
  <si>
    <t>Today</t>
  </si>
  <si>
    <t>T0</t>
  </si>
  <si>
    <t xml:space="preserve">principal </t>
  </si>
  <si>
    <t>payments/year</t>
  </si>
  <si>
    <t>years paid</t>
  </si>
  <si>
    <t>a)</t>
  </si>
  <si>
    <t>0f3</t>
  </si>
  <si>
    <t>b)</t>
  </si>
  <si>
    <t>Roky</t>
  </si>
  <si>
    <t>CF</t>
  </si>
  <si>
    <t>DF</t>
  </si>
  <si>
    <t>PV</t>
  </si>
  <si>
    <t>t*CF</t>
  </si>
  <si>
    <t>c)</t>
  </si>
  <si>
    <t>Durace</t>
  </si>
  <si>
    <t>Mod durace</t>
  </si>
  <si>
    <t>d)</t>
  </si>
  <si>
    <t>Change</t>
  </si>
  <si>
    <t xml:space="preserve">Assume the following situation: </t>
  </si>
  <si>
    <r>
      <t>KB´s research department delivered the following estimate of short-term interest rate development; i</t>
    </r>
    <r>
      <rPr>
        <vertAlign val="superscript"/>
        <sz val="12"/>
        <rFont val="Arial"/>
        <family val="2"/>
        <charset val="238"/>
      </rPr>
      <t>e</t>
    </r>
    <r>
      <rPr>
        <vertAlign val="subscript"/>
        <sz val="12"/>
        <rFont val="Arial"/>
        <family val="2"/>
        <charset val="238"/>
      </rPr>
      <t>2005</t>
    </r>
    <r>
      <rPr>
        <sz val="12"/>
        <rFont val="Arial"/>
        <family val="2"/>
        <charset val="238"/>
      </rPr>
      <t xml:space="preserve"> = 4.8% p.a. i</t>
    </r>
    <r>
      <rPr>
        <vertAlign val="superscript"/>
        <sz val="12"/>
        <rFont val="Arial"/>
        <family val="2"/>
        <charset val="238"/>
      </rPr>
      <t>e</t>
    </r>
    <r>
      <rPr>
        <vertAlign val="subscript"/>
        <sz val="12"/>
        <rFont val="Arial"/>
        <family val="2"/>
        <charset val="238"/>
      </rPr>
      <t>2006</t>
    </r>
    <r>
      <rPr>
        <sz val="12"/>
        <rFont val="Arial"/>
        <family val="2"/>
        <charset val="238"/>
      </rPr>
      <t xml:space="preserve"> =5.7 % p.a., i</t>
    </r>
    <r>
      <rPr>
        <vertAlign val="superscript"/>
        <sz val="12"/>
        <rFont val="Arial"/>
        <family val="2"/>
        <charset val="238"/>
      </rPr>
      <t>e</t>
    </r>
    <r>
      <rPr>
        <vertAlign val="subscript"/>
        <sz val="12"/>
        <rFont val="Arial"/>
        <family val="2"/>
        <charset val="238"/>
      </rPr>
      <t>2007</t>
    </r>
    <r>
      <rPr>
        <sz val="12"/>
        <rFont val="Arial"/>
        <family val="2"/>
        <charset val="238"/>
      </rPr>
      <t xml:space="preserve"> = 6.4 % p.a.</t>
    </r>
  </si>
  <si>
    <t>KB´s management wants to find out duration of the loan (interest rate - riskiness) of this loan (i.e. how proceeds of the loan will be affected by interest rate changes).</t>
  </si>
  <si>
    <t>total tenor of the loan</t>
  </si>
  <si>
    <t>i2008</t>
  </si>
  <si>
    <t>i2009</t>
  </si>
  <si>
    <t>i2010</t>
  </si>
  <si>
    <t>e)</t>
  </si>
  <si>
    <t>Convexity</t>
  </si>
  <si>
    <t>i.r</t>
  </si>
  <si>
    <t>=</t>
  </si>
  <si>
    <t>Position A</t>
  </si>
  <si>
    <t>profit</t>
  </si>
  <si>
    <t>Face value A</t>
  </si>
  <si>
    <t>Face value B</t>
  </si>
  <si>
    <t>volatility A</t>
  </si>
  <si>
    <t>volatility B</t>
  </si>
  <si>
    <t>confidence level - both</t>
  </si>
  <si>
    <t>Position B</t>
  </si>
  <si>
    <t>RAROC A</t>
  </si>
  <si>
    <t>RAROC B</t>
  </si>
  <si>
    <t>BB</t>
  </si>
  <si>
    <t>Assumptions</t>
  </si>
  <si>
    <t>Calculation</t>
  </si>
  <si>
    <t>External funds costs</t>
  </si>
  <si>
    <t>3Y</t>
  </si>
  <si>
    <t>Relevant default rate</t>
  </si>
  <si>
    <t>Loan Pricing</t>
  </si>
  <si>
    <t>anuita</t>
  </si>
  <si>
    <r>
      <t>Today is the 31</t>
    </r>
    <r>
      <rPr>
        <vertAlign val="superscript"/>
        <sz val="10"/>
        <rFont val="Arial"/>
        <family val="2"/>
        <charset val="238"/>
      </rPr>
      <t>th</t>
    </r>
    <r>
      <rPr>
        <sz val="10"/>
        <rFont val="Arial"/>
        <family val="2"/>
        <charset val="238"/>
      </rPr>
      <t xml:space="preserve"> December 2007. At 31</t>
    </r>
    <r>
      <rPr>
        <vertAlign val="superscript"/>
        <sz val="10"/>
        <rFont val="Arial"/>
        <family val="2"/>
        <charset val="238"/>
      </rPr>
      <t>th</t>
    </r>
    <r>
      <rPr>
        <sz val="10"/>
        <rFont val="Arial"/>
        <family val="2"/>
        <charset val="238"/>
      </rPr>
      <t xml:space="preserve"> December 2005,  Komerční banka (KB)  granted a five-year loan with a notional principle of 15 million and a fixed interest rate of 5 % p.a. </t>
    </r>
  </si>
  <si>
    <t>Is paid in regular yearly installments</t>
  </si>
  <si>
    <t>Portfolio immunization</t>
  </si>
  <si>
    <t xml:space="preserve">c) </t>
  </si>
  <si>
    <t>duration of liabilities</t>
  </si>
  <si>
    <t>years</t>
  </si>
  <si>
    <t xml:space="preserve">weighted duration of assets </t>
  </si>
  <si>
    <t>zero coupon bond</t>
  </si>
  <si>
    <t>government bond</t>
  </si>
  <si>
    <t>corporate bond</t>
  </si>
  <si>
    <t>15 mil remaining</t>
  </si>
  <si>
    <t>duration of</t>
  </si>
  <si>
    <t>?, any asset with weighted duration of 0,8, resp 15 mio with duration of 4</t>
  </si>
  <si>
    <t>ALM (14 pts)</t>
  </si>
  <si>
    <t>Calculate duration of an instrument you have bought into your portfolio of assets in order to immunise it if the liabilities are following:</t>
  </si>
  <si>
    <t xml:space="preserve">a) </t>
  </si>
  <si>
    <t xml:space="preserve">b) </t>
  </si>
  <si>
    <t xml:space="preserve">3-year bond with coupon rate of 10% - nominal value CZK 5bn, 8% market interest rate </t>
  </si>
  <si>
    <t>Bond</t>
  </si>
  <si>
    <t>duration</t>
  </si>
  <si>
    <t>Depo</t>
  </si>
  <si>
    <t>Depo duration</t>
  </si>
  <si>
    <t>Bond duration</t>
  </si>
  <si>
    <t>Total duration</t>
  </si>
  <si>
    <t>V</t>
  </si>
  <si>
    <t>a)  termínované vklady úročené 10% ročně na 3 roky - objem 7 mld. USD</t>
  </si>
  <si>
    <t>N</t>
  </si>
  <si>
    <t>b)  commercial paper s anualizovaným výnosem 5% a dobou do splatnosti 173 dní - objem 10 mld. USD</t>
  </si>
  <si>
    <t>r</t>
  </si>
  <si>
    <t>depo</t>
  </si>
  <si>
    <t>d - term. vklad</t>
  </si>
  <si>
    <t>PV (depo)</t>
  </si>
  <si>
    <t>d - com. Paper</t>
  </si>
  <si>
    <t>nebo 0,5</t>
  </si>
  <si>
    <t>PV (CP)</t>
  </si>
  <si>
    <t>d celkem</t>
  </si>
  <si>
    <t>T-bill duration</t>
  </si>
  <si>
    <t>T-bill</t>
  </si>
  <si>
    <t>FV</t>
  </si>
  <si>
    <t>days</t>
  </si>
  <si>
    <t>Duration</t>
  </si>
  <si>
    <t>conv</t>
  </si>
  <si>
    <t>yield</t>
  </si>
  <si>
    <t>Treasury bills issued in the nominal value of CZK 1bn with a 6% discount and residual maturity of 180 days. Assume the ACT/360 day-count convention.</t>
  </si>
  <si>
    <t>Basic terms</t>
  </si>
  <si>
    <t>Total</t>
  </si>
  <si>
    <t>Liquidity</t>
  </si>
  <si>
    <t>Int.rates</t>
  </si>
  <si>
    <t xml:space="preserve">time (term) deposit yielding 6% p.a. for 2 years - volume CZK 1bn, interest paid once after 2 years, 6% market interest rate </t>
  </si>
  <si>
    <t>6) Portfolio Duration</t>
  </si>
  <si>
    <t>Credit risk</t>
  </si>
  <si>
    <t>B1</t>
  </si>
  <si>
    <t>B2</t>
  </si>
  <si>
    <t>B3</t>
  </si>
  <si>
    <t>B4</t>
  </si>
  <si>
    <t>B5</t>
  </si>
  <si>
    <t>B6</t>
  </si>
  <si>
    <t>Common sense</t>
  </si>
  <si>
    <t>Central banking</t>
  </si>
  <si>
    <t>Cash</t>
  </si>
  <si>
    <t>As of Dec 31</t>
  </si>
  <si>
    <t>Assets</t>
  </si>
  <si>
    <t>Liabilities and Equity</t>
  </si>
  <si>
    <t>Interbank loans (based on PRIBOR)</t>
  </si>
  <si>
    <t>Equity Investments</t>
  </si>
  <si>
    <t>Fixed assets</t>
  </si>
  <si>
    <t>Equity</t>
  </si>
  <si>
    <t>1 Y Term deposits (retail customers), fixed rate 2 %</t>
  </si>
  <si>
    <t>Capital</t>
  </si>
  <si>
    <t>Market value</t>
  </si>
  <si>
    <t>Book value</t>
  </si>
  <si>
    <t>CF1</t>
  </si>
  <si>
    <t>CF2</t>
  </si>
  <si>
    <t>CF3</t>
  </si>
  <si>
    <t>CF4</t>
  </si>
  <si>
    <t>Spot rate</t>
  </si>
  <si>
    <t>Discount Factor</t>
  </si>
  <si>
    <t>Fwd Rates</t>
  </si>
  <si>
    <t>shock</t>
  </si>
  <si>
    <t>Pricing</t>
  </si>
  <si>
    <t>PRIBOR</t>
  </si>
  <si>
    <t>Czech Government bills (0,1%)</t>
  </si>
  <si>
    <t>20Y Government bonds, (fixed 3 %)</t>
  </si>
  <si>
    <t>Current annual income</t>
  </si>
  <si>
    <t>5Y Bonds issued, USD denominated, fixed 3,3%</t>
  </si>
  <si>
    <t>App. annual i.r. costs</t>
  </si>
  <si>
    <t>6Y Commercial real estate loans (corporates), PRIBOR + 2,5%</t>
  </si>
  <si>
    <t>Overdrafts (PRIBOR + 1%)</t>
  </si>
  <si>
    <t>20Y Receivables (retail), PRIBOR +1,9%</t>
  </si>
  <si>
    <t>Interest rate profit</t>
  </si>
  <si>
    <t>PRIBOR rates</t>
  </si>
  <si>
    <t>Short term EUR deposits</t>
  </si>
  <si>
    <t>3M Term deposits (large customers), fixed rate 1,5%</t>
  </si>
  <si>
    <t>Sight deposits (PRIBOR-0,2%)</t>
  </si>
  <si>
    <t>App. annual i.r.income</t>
  </si>
  <si>
    <t>(with this structure of the balance sheet - short term rates are rising - profit is rising)</t>
  </si>
  <si>
    <t>i.r.profit</t>
  </si>
  <si>
    <t>6M</t>
  </si>
  <si>
    <t>2Y</t>
  </si>
  <si>
    <t>7Y</t>
  </si>
  <si>
    <t>30Y</t>
  </si>
  <si>
    <t>3M</t>
  </si>
  <si>
    <t>Original yield curve</t>
  </si>
  <si>
    <t>After the ST shock</t>
  </si>
  <si>
    <t>Book value balance sheet</t>
  </si>
  <si>
    <t>Term deposit (2Y fixed rate at 1,5 %)</t>
  </si>
  <si>
    <t>Asset - investment financing (4Y fixed rate at 3,5 %)</t>
  </si>
  <si>
    <t>Deposit (floating rate, 1 year fixing)</t>
  </si>
  <si>
    <t>Asset - operating financing (floating, O/N)</t>
  </si>
  <si>
    <t>Asset A</t>
  </si>
  <si>
    <t>Asset B</t>
  </si>
  <si>
    <t>CF0</t>
  </si>
  <si>
    <t xml:space="preserve">0/N </t>
  </si>
  <si>
    <t>1 year</t>
  </si>
  <si>
    <t>2 years</t>
  </si>
  <si>
    <t>3 years</t>
  </si>
  <si>
    <t>4 years</t>
  </si>
  <si>
    <t>Liability A</t>
  </si>
  <si>
    <t>Liability B</t>
  </si>
  <si>
    <t>Cash flow/Time buckets</t>
  </si>
  <si>
    <t>After the shock - parallel shift + 200 bps, NPV</t>
  </si>
  <si>
    <t>Before the shock - NPV</t>
  </si>
  <si>
    <t>After the shock - parallel shift + 200 bps, net income</t>
  </si>
  <si>
    <t>Before the shock - net income</t>
  </si>
  <si>
    <t>After the shock - parallel shift - 200 bps, NPV</t>
  </si>
  <si>
    <t>After the shock - parallel shift - 200 bps, net income</t>
  </si>
  <si>
    <t>decrease of rates</t>
  </si>
  <si>
    <t>increase of rates</t>
  </si>
  <si>
    <t>Parallel shift + 200 bps</t>
  </si>
  <si>
    <t>Parallel shift - 200 bps</t>
  </si>
  <si>
    <t>1Y</t>
  </si>
  <si>
    <t>4Y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</si>
</sst>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£&quot;#,##0.00;[Red]\-&quot;£&quot;#,##0.00"/>
    <numFmt numFmtId="165" formatCode="0.000000"/>
    <numFmt numFmtId="166" formatCode="0.00000"/>
    <numFmt numFmtId="167" formatCode="0.0"/>
    <numFmt numFmtId="168" formatCode="[$CZK]\ #,##0.00;[Red]\-[$CZK]\ #,##0.00"/>
    <numFmt numFmtId="169" formatCode="[$CZK]\ #,##0"/>
    <numFmt numFmtId="170" formatCode="0.0000"/>
    <numFmt numFmtId="171" formatCode="0.0%"/>
  </numFmts>
  <fonts count="4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2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Times New Roman CE"/>
      <family val="1"/>
      <charset val="238"/>
    </font>
    <font>
      <b/>
      <sz val="10"/>
      <color indexed="10"/>
      <name val="Times New Roman CE"/>
      <family val="1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</font>
    <font>
      <b/>
      <sz val="10"/>
      <color indexed="10"/>
      <name val="Arial CE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2"/>
      <color indexed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1"/>
      <color indexed="10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bscript"/>
      <sz val="12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0"/>
    <xf numFmtId="9" fontId="3" fillId="0" borderId="0" applyFont="0" applyFill="0" applyBorder="0" applyAlignment="0" applyProtection="0"/>
  </cellStyleXfs>
  <cellXfs count="30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indent="4"/>
    </xf>
    <xf numFmtId="0" fontId="8" fillId="0" borderId="0" xfId="0" applyFont="1"/>
    <xf numFmtId="0" fontId="5" fillId="0" borderId="0" xfId="0" applyFont="1" applyAlignment="1">
      <alignment horizontal="left" indent="4"/>
    </xf>
    <xf numFmtId="0" fontId="7" fillId="0" borderId="0" xfId="0" applyFont="1"/>
    <xf numFmtId="14" fontId="0" fillId="0" borderId="0" xfId="0" applyNumberFormat="1"/>
    <xf numFmtId="3" fontId="0" fillId="0" borderId="0" xfId="0" applyNumberFormat="1"/>
    <xf numFmtId="10" fontId="0" fillId="0" borderId="0" xfId="0" applyNumberFormat="1"/>
    <xf numFmtId="0" fontId="0" fillId="0" borderId="0" xfId="0" applyNumberFormat="1"/>
    <xf numFmtId="10" fontId="9" fillId="0" borderId="0" xfId="0" applyNumberFormat="1" applyFont="1"/>
    <xf numFmtId="168" fontId="0" fillId="0" borderId="0" xfId="0" applyNumberFormat="1"/>
    <xf numFmtId="164" fontId="0" fillId="0" borderId="0" xfId="0" applyNumberFormat="1"/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0" xfId="0" applyFill="1"/>
    <xf numFmtId="4" fontId="0" fillId="0" borderId="0" xfId="0" applyNumberFormat="1"/>
    <xf numFmtId="165" fontId="0" fillId="0" borderId="0" xfId="0" applyNumberFormat="1"/>
    <xf numFmtId="0" fontId="11" fillId="0" borderId="0" xfId="0" applyFont="1" applyBorder="1" applyAlignment="1">
      <alignment horizontal="right"/>
    </xf>
    <xf numFmtId="4" fontId="12" fillId="0" borderId="0" xfId="0" applyNumberFormat="1" applyFont="1"/>
    <xf numFmtId="0" fontId="9" fillId="0" borderId="0" xfId="0" applyFont="1" applyFill="1"/>
    <xf numFmtId="10" fontId="0" fillId="0" borderId="0" xfId="0" applyNumberFormat="1" applyAlignment="1">
      <alignment horizontal="center"/>
    </xf>
    <xf numFmtId="0" fontId="9" fillId="0" borderId="0" xfId="0" applyFont="1"/>
    <xf numFmtId="168" fontId="13" fillId="0" borderId="0" xfId="0" applyNumberFormat="1" applyFont="1"/>
    <xf numFmtId="10" fontId="3" fillId="0" borderId="0" xfId="2" applyNumberFormat="1"/>
    <xf numFmtId="169" fontId="9" fillId="0" borderId="0" xfId="0" applyNumberFormat="1" applyFont="1"/>
    <xf numFmtId="0" fontId="14" fillId="0" borderId="0" xfId="0" applyFont="1" applyAlignment="1">
      <alignment horizontal="right"/>
    </xf>
    <xf numFmtId="0" fontId="0" fillId="0" borderId="0" xfId="0" applyBorder="1"/>
    <xf numFmtId="10" fontId="15" fillId="0" borderId="0" xfId="0" applyNumberFormat="1" applyFont="1" applyFill="1" applyBorder="1"/>
    <xf numFmtId="0" fontId="0" fillId="0" borderId="0" xfId="0" applyFill="1" applyBorder="1"/>
    <xf numFmtId="2" fontId="14" fillId="0" borderId="0" xfId="0" applyNumberFormat="1" applyFont="1"/>
    <xf numFmtId="0" fontId="4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4" fillId="0" borderId="0" xfId="0" applyFont="1" applyAlignment="1">
      <alignment horizontal="justify"/>
    </xf>
    <xf numFmtId="0" fontId="0" fillId="0" borderId="0" xfId="0" applyAlignment="1"/>
    <xf numFmtId="0" fontId="18" fillId="0" borderId="0" xfId="0" applyFont="1" applyAlignment="1">
      <alignment horizontal="justify"/>
    </xf>
    <xf numFmtId="0" fontId="19" fillId="0" borderId="0" xfId="0" applyFont="1" applyAlignment="1">
      <alignment horizontal="justify"/>
    </xf>
    <xf numFmtId="0" fontId="20" fillId="0" borderId="0" xfId="0" applyFont="1"/>
    <xf numFmtId="0" fontId="21" fillId="0" borderId="0" xfId="0" applyFont="1" applyAlignment="1">
      <alignment horizontal="justify"/>
    </xf>
    <xf numFmtId="0" fontId="19" fillId="0" borderId="0" xfId="0" applyFont="1" applyAlignment="1">
      <alignment horizontal="left" indent="1"/>
    </xf>
    <xf numFmtId="0" fontId="19" fillId="0" borderId="0" xfId="0" applyFont="1"/>
    <xf numFmtId="0" fontId="0" fillId="3" borderId="0" xfId="0" applyFill="1"/>
    <xf numFmtId="0" fontId="24" fillId="0" borderId="0" xfId="0" applyFont="1" applyAlignment="1">
      <alignment horizontal="justify"/>
    </xf>
    <xf numFmtId="0" fontId="26" fillId="3" borderId="0" xfId="0" applyFont="1" applyFill="1"/>
    <xf numFmtId="0" fontId="6" fillId="3" borderId="0" xfId="0" applyFont="1" applyFill="1"/>
    <xf numFmtId="9" fontId="6" fillId="3" borderId="0" xfId="0" applyNumberFormat="1" applyFont="1" applyFill="1"/>
    <xf numFmtId="0" fontId="20" fillId="3" borderId="0" xfId="0" applyFont="1" applyFill="1"/>
    <xf numFmtId="10" fontId="20" fillId="3" borderId="0" xfId="0" applyNumberFormat="1" applyFont="1" applyFill="1"/>
    <xf numFmtId="0" fontId="8" fillId="3" borderId="0" xfId="0" applyFont="1" applyFill="1"/>
    <xf numFmtId="0" fontId="17" fillId="3" borderId="0" xfId="0" applyFont="1" applyFill="1"/>
    <xf numFmtId="0" fontId="17" fillId="0" borderId="0" xfId="0" applyFont="1" applyAlignment="1">
      <alignment horizontal="right"/>
    </xf>
    <xf numFmtId="0" fontId="17" fillId="3" borderId="0" xfId="0" applyFont="1" applyFill="1" applyAlignment="1">
      <alignment horizontal="right"/>
    </xf>
    <xf numFmtId="9" fontId="17" fillId="3" borderId="0" xfId="0" applyNumberFormat="1" applyFont="1" applyFill="1" applyAlignment="1">
      <alignment horizontal="right"/>
    </xf>
    <xf numFmtId="3" fontId="17" fillId="3" borderId="0" xfId="0" applyNumberFormat="1" applyFont="1" applyFill="1" applyAlignment="1">
      <alignment horizontal="right"/>
    </xf>
    <xf numFmtId="0" fontId="0" fillId="4" borderId="0" xfId="0" applyFill="1"/>
    <xf numFmtId="0" fontId="17" fillId="4" borderId="0" xfId="0" applyFont="1" applyFill="1" applyAlignment="1">
      <alignment horizontal="right"/>
    </xf>
    <xf numFmtId="0" fontId="17" fillId="4" borderId="0" xfId="0" applyFont="1" applyFill="1"/>
    <xf numFmtId="0" fontId="17" fillId="0" borderId="0" xfId="0" applyFont="1"/>
    <xf numFmtId="0" fontId="27" fillId="4" borderId="0" xfId="0" applyFont="1" applyFill="1"/>
    <xf numFmtId="1" fontId="27" fillId="4" borderId="0" xfId="0" applyNumberFormat="1" applyFont="1" applyFill="1"/>
    <xf numFmtId="10" fontId="27" fillId="4" borderId="0" xfId="2" applyNumberFormat="1" applyFont="1" applyFill="1"/>
    <xf numFmtId="10" fontId="27" fillId="4" borderId="0" xfId="0" applyNumberFormat="1" applyFont="1" applyFill="1"/>
    <xf numFmtId="10" fontId="17" fillId="3" borderId="0" xfId="0" applyNumberFormat="1" applyFont="1" applyFill="1"/>
    <xf numFmtId="166" fontId="9" fillId="0" borderId="0" xfId="0" applyNumberFormat="1" applyFont="1" applyFill="1"/>
    <xf numFmtId="166" fontId="9" fillId="0" borderId="0" xfId="0" applyNumberFormat="1" applyFont="1"/>
    <xf numFmtId="0" fontId="28" fillId="0" borderId="0" xfId="0" applyFont="1"/>
    <xf numFmtId="0" fontId="28" fillId="0" borderId="0" xfId="0" applyFont="1" applyBorder="1"/>
    <xf numFmtId="0" fontId="28" fillId="3" borderId="4" xfId="0" applyFont="1" applyFill="1" applyBorder="1"/>
    <xf numFmtId="0" fontId="17" fillId="0" borderId="0" xfId="1" applyFont="1" applyFill="1"/>
    <xf numFmtId="0" fontId="28" fillId="3" borderId="0" xfId="0" applyNumberFormat="1" applyFont="1" applyFill="1"/>
    <xf numFmtId="0" fontId="26" fillId="0" borderId="0" xfId="0" applyFont="1" applyFill="1"/>
    <xf numFmtId="10" fontId="9" fillId="0" borderId="0" xfId="0" applyNumberFormat="1" applyFont="1" applyFill="1"/>
    <xf numFmtId="0" fontId="0" fillId="0" borderId="0" xfId="0" applyAlignment="1">
      <alignment horizontal="right"/>
    </xf>
    <xf numFmtId="0" fontId="30" fillId="5" borderId="0" xfId="1" applyFont="1" applyFill="1"/>
    <xf numFmtId="0" fontId="30" fillId="0" borderId="0" xfId="1" applyFont="1"/>
    <xf numFmtId="0" fontId="31" fillId="0" borderId="0" xfId="1" applyFont="1" applyFill="1"/>
    <xf numFmtId="0" fontId="30" fillId="0" borderId="0" xfId="1" applyFont="1" applyFill="1"/>
    <xf numFmtId="0" fontId="30" fillId="2" borderId="0" xfId="1" applyFont="1" applyFill="1"/>
    <xf numFmtId="9" fontId="30" fillId="2" borderId="0" xfId="1" applyNumberFormat="1" applyFont="1" applyFill="1"/>
    <xf numFmtId="3" fontId="30" fillId="2" borderId="0" xfId="1" applyNumberFormat="1" applyFont="1" applyFill="1"/>
    <xf numFmtId="9" fontId="30" fillId="0" borderId="0" xfId="1" applyNumberFormat="1" applyFont="1"/>
    <xf numFmtId="167" fontId="30" fillId="2" borderId="5" xfId="1" applyNumberFormat="1" applyFont="1" applyFill="1" applyBorder="1" applyAlignment="1">
      <alignment horizontal="center"/>
    </xf>
    <xf numFmtId="0" fontId="30" fillId="2" borderId="6" xfId="1" applyFont="1" applyFill="1" applyBorder="1" applyAlignment="1">
      <alignment horizontal="center"/>
    </xf>
    <xf numFmtId="0" fontId="30" fillId="2" borderId="7" xfId="1" applyFont="1" applyFill="1" applyBorder="1" applyAlignment="1">
      <alignment horizontal="center"/>
    </xf>
    <xf numFmtId="0" fontId="30" fillId="6" borderId="0" xfId="1" applyFont="1" applyFill="1"/>
    <xf numFmtId="9" fontId="30" fillId="6" borderId="0" xfId="1" applyNumberFormat="1" applyFont="1" applyFill="1"/>
    <xf numFmtId="3" fontId="30" fillId="6" borderId="0" xfId="1" applyNumberFormat="1" applyFont="1" applyFill="1"/>
    <xf numFmtId="167" fontId="30" fillId="6" borderId="5" xfId="1" applyNumberFormat="1" applyFont="1" applyFill="1" applyBorder="1" applyAlignment="1">
      <alignment horizontal="center"/>
    </xf>
    <xf numFmtId="0" fontId="30" fillId="6" borderId="6" xfId="1" applyFont="1" applyFill="1" applyBorder="1" applyAlignment="1">
      <alignment horizontal="center"/>
    </xf>
    <xf numFmtId="0" fontId="30" fillId="6" borderId="7" xfId="1" applyFont="1" applyFill="1" applyBorder="1" applyAlignment="1">
      <alignment horizontal="center"/>
    </xf>
    <xf numFmtId="0" fontId="30" fillId="7" borderId="8" xfId="1" applyFont="1" applyFill="1" applyBorder="1"/>
    <xf numFmtId="0" fontId="30" fillId="7" borderId="9" xfId="1" applyFont="1" applyFill="1" applyBorder="1"/>
    <xf numFmtId="2" fontId="31" fillId="7" borderId="10" xfId="1" applyNumberFormat="1" applyFont="1" applyFill="1" applyBorder="1"/>
    <xf numFmtId="0" fontId="30" fillId="0" borderId="0" xfId="1" applyFont="1" applyAlignment="1">
      <alignment horizontal="left" indent="1"/>
    </xf>
    <xf numFmtId="2" fontId="30" fillId="0" borderId="0" xfId="1" applyNumberFormat="1" applyFont="1"/>
    <xf numFmtId="0" fontId="30" fillId="0" borderId="8" xfId="1" applyFont="1" applyBorder="1"/>
    <xf numFmtId="0" fontId="30" fillId="0" borderId="9" xfId="1" applyFont="1" applyBorder="1"/>
    <xf numFmtId="2" fontId="31" fillId="0" borderId="10" xfId="1" applyNumberFormat="1" applyFont="1" applyBorder="1"/>
    <xf numFmtId="3" fontId="30" fillId="0" borderId="0" xfId="1" applyNumberFormat="1" applyFont="1"/>
    <xf numFmtId="0" fontId="31" fillId="3" borderId="0" xfId="1" applyFont="1" applyFill="1"/>
    <xf numFmtId="0" fontId="30" fillId="3" borderId="0" xfId="1" applyFont="1" applyFill="1"/>
    <xf numFmtId="0" fontId="30" fillId="3" borderId="0" xfId="1" applyFont="1" applyFill="1" applyAlignment="1">
      <alignment horizontal="left"/>
    </xf>
    <xf numFmtId="10" fontId="0" fillId="3" borderId="0" xfId="2" applyNumberFormat="1" applyFont="1" applyFill="1"/>
    <xf numFmtId="167" fontId="30" fillId="3" borderId="5" xfId="1" applyNumberFormat="1" applyFont="1" applyFill="1" applyBorder="1" applyAlignment="1">
      <alignment horizontal="center"/>
    </xf>
    <xf numFmtId="0" fontId="30" fillId="3" borderId="6" xfId="1" applyFont="1" applyFill="1" applyBorder="1" applyAlignment="1">
      <alignment horizontal="center"/>
    </xf>
    <xf numFmtId="0" fontId="30" fillId="3" borderId="7" xfId="1" applyFont="1" applyFill="1" applyBorder="1" applyAlignment="1">
      <alignment horizontal="center"/>
    </xf>
    <xf numFmtId="0" fontId="31" fillId="0" borderId="0" xfId="0" applyFont="1"/>
    <xf numFmtId="2" fontId="30" fillId="2" borderId="0" xfId="1" applyNumberFormat="1" applyFont="1" applyFill="1"/>
    <xf numFmtId="2" fontId="30" fillId="2" borderId="11" xfId="1" applyNumberFormat="1" applyFont="1" applyFill="1" applyBorder="1" applyAlignment="1">
      <alignment horizontal="center"/>
    </xf>
    <xf numFmtId="2" fontId="30" fillId="6" borderId="0" xfId="1" applyNumberFormat="1" applyFont="1" applyFill="1"/>
    <xf numFmtId="2" fontId="30" fillId="6" borderId="11" xfId="1" applyNumberFormat="1" applyFont="1" applyFill="1" applyBorder="1" applyAlignment="1">
      <alignment horizontal="center"/>
    </xf>
    <xf numFmtId="2" fontId="30" fillId="3" borderId="11" xfId="1" applyNumberFormat="1" applyFont="1" applyFill="1" applyBorder="1" applyAlignment="1">
      <alignment horizontal="center"/>
    </xf>
    <xf numFmtId="49" fontId="0" fillId="0" borderId="0" xfId="0" applyNumberFormat="1"/>
    <xf numFmtId="0" fontId="24" fillId="0" borderId="0" xfId="0" applyFont="1"/>
    <xf numFmtId="9" fontId="0" fillId="0" borderId="0" xfId="0" applyNumberFormat="1"/>
    <xf numFmtId="0" fontId="13" fillId="0" borderId="0" xfId="0" applyFont="1"/>
    <xf numFmtId="0" fontId="13" fillId="0" borderId="8" xfId="0" applyFont="1" applyBorder="1"/>
    <xf numFmtId="0" fontId="2" fillId="8" borderId="16" xfId="0" applyFont="1" applyFill="1" applyBorder="1"/>
    <xf numFmtId="0" fontId="2" fillId="8" borderId="20" xfId="0" applyFont="1" applyFill="1" applyBorder="1" applyAlignment="1">
      <alignment horizontal="right"/>
    </xf>
    <xf numFmtId="0" fontId="2" fillId="8" borderId="21" xfId="0" applyFont="1" applyFill="1" applyBorder="1" applyAlignment="1">
      <alignment horizontal="right"/>
    </xf>
    <xf numFmtId="0" fontId="2" fillId="8" borderId="22" xfId="0" applyFont="1" applyFill="1" applyBorder="1"/>
    <xf numFmtId="0" fontId="33" fillId="8" borderId="23" xfId="0" applyFont="1" applyFill="1" applyBorder="1"/>
    <xf numFmtId="0" fontId="33" fillId="8" borderId="0" xfId="0" applyFont="1" applyFill="1" applyBorder="1"/>
    <xf numFmtId="0" fontId="33" fillId="8" borderId="15" xfId="0" applyFont="1" applyFill="1" applyBorder="1"/>
    <xf numFmtId="0" fontId="2" fillId="8" borderId="19" xfId="0" applyFont="1" applyFill="1" applyBorder="1"/>
    <xf numFmtId="0" fontId="33" fillId="8" borderId="25" xfId="0" applyFont="1" applyFill="1" applyBorder="1"/>
    <xf numFmtId="0" fontId="2" fillId="8" borderId="24" xfId="0" applyFont="1" applyFill="1" applyBorder="1" applyAlignment="1">
      <alignment vertical="center"/>
    </xf>
    <xf numFmtId="0" fontId="33" fillId="8" borderId="13" xfId="0" applyFont="1" applyFill="1" applyBorder="1" applyAlignment="1">
      <alignment vertical="center"/>
    </xf>
    <xf numFmtId="0" fontId="2" fillId="8" borderId="18" xfId="0" applyFont="1" applyFill="1" applyBorder="1" applyAlignment="1">
      <alignment vertical="center"/>
    </xf>
    <xf numFmtId="0" fontId="33" fillId="8" borderId="0" xfId="0" applyFont="1" applyFill="1" applyBorder="1" applyAlignment="1">
      <alignment vertical="center"/>
    </xf>
    <xf numFmtId="0" fontId="2" fillId="8" borderId="23" xfId="0" applyFont="1" applyFill="1" applyBorder="1" applyAlignment="1">
      <alignment vertical="center"/>
    </xf>
    <xf numFmtId="0" fontId="33" fillId="8" borderId="4" xfId="0" applyFont="1" applyFill="1" applyBorder="1" applyAlignment="1">
      <alignment vertical="center"/>
    </xf>
    <xf numFmtId="0" fontId="0" fillId="8" borderId="0" xfId="0" applyFill="1"/>
    <xf numFmtId="0" fontId="34" fillId="0" borderId="16" xfId="0" applyFont="1" applyBorder="1"/>
    <xf numFmtId="0" fontId="35" fillId="0" borderId="20" xfId="0" applyFont="1" applyBorder="1"/>
    <xf numFmtId="0" fontId="36" fillId="0" borderId="0" xfId="0" applyFont="1"/>
    <xf numFmtId="0" fontId="35" fillId="0" borderId="32" xfId="0" applyFont="1" applyBorder="1"/>
    <xf numFmtId="0" fontId="37" fillId="0" borderId="3" xfId="0" applyFont="1" applyBorder="1" applyAlignment="1">
      <alignment horizontal="center" wrapText="1"/>
    </xf>
    <xf numFmtId="0" fontId="35" fillId="0" borderId="12" xfId="0" applyFont="1" applyBorder="1"/>
    <xf numFmtId="0" fontId="35" fillId="0" borderId="3" xfId="0" applyFont="1" applyBorder="1"/>
    <xf numFmtId="0" fontId="34" fillId="0" borderId="1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0" fontId="35" fillId="0" borderId="24" xfId="0" applyFont="1" applyBorder="1"/>
    <xf numFmtId="0" fontId="35" fillId="0" borderId="0" xfId="0" applyFont="1" applyBorder="1"/>
    <xf numFmtId="0" fontId="37" fillId="0" borderId="19" xfId="0" applyFont="1" applyFill="1" applyBorder="1"/>
    <xf numFmtId="0" fontId="35" fillId="0" borderId="18" xfId="0" applyFont="1" applyBorder="1"/>
    <xf numFmtId="0" fontId="35" fillId="0" borderId="35" xfId="0" applyFont="1" applyBorder="1"/>
    <xf numFmtId="0" fontId="36" fillId="0" borderId="12" xfId="0" applyFont="1" applyBorder="1"/>
    <xf numFmtId="0" fontId="1" fillId="8" borderId="18" xfId="0" applyFont="1" applyFill="1" applyBorder="1" applyAlignment="1">
      <alignment vertical="center"/>
    </xf>
    <xf numFmtId="0" fontId="2" fillId="8" borderId="20" xfId="0" applyFont="1" applyFill="1" applyBorder="1"/>
    <xf numFmtId="0" fontId="2" fillId="8" borderId="0" xfId="0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2" fillId="8" borderId="25" xfId="0" applyFont="1" applyFill="1" applyBorder="1"/>
    <xf numFmtId="9" fontId="2" fillId="8" borderId="13" xfId="0" applyNumberFormat="1" applyFont="1" applyFill="1" applyBorder="1" applyAlignment="1">
      <alignment vertical="center"/>
    </xf>
    <xf numFmtId="10" fontId="1" fillId="8" borderId="0" xfId="0" applyNumberFormat="1" applyFont="1" applyFill="1" applyBorder="1" applyAlignment="1">
      <alignment vertical="center"/>
    </xf>
    <xf numFmtId="10" fontId="2" fillId="8" borderId="0" xfId="0" applyNumberFormat="1" applyFont="1" applyFill="1" applyBorder="1" applyAlignment="1">
      <alignment vertical="center"/>
    </xf>
    <xf numFmtId="171" fontId="2" fillId="8" borderId="0" xfId="2" applyNumberFormat="1" applyFont="1" applyFill="1" applyBorder="1" applyAlignment="1">
      <alignment vertical="center"/>
    </xf>
    <xf numFmtId="9" fontId="2" fillId="8" borderId="0" xfId="0" applyNumberFormat="1" applyFont="1" applyFill="1" applyBorder="1" applyAlignment="1">
      <alignment vertical="center"/>
    </xf>
    <xf numFmtId="0" fontId="2" fillId="8" borderId="0" xfId="0" applyFont="1" applyFill="1" applyBorder="1" applyAlignment="1">
      <alignment vertical="center" wrapText="1"/>
    </xf>
    <xf numFmtId="0" fontId="6" fillId="8" borderId="0" xfId="0" applyFont="1" applyFill="1" applyBorder="1" applyAlignment="1">
      <alignment vertical="center"/>
    </xf>
    <xf numFmtId="0" fontId="6" fillId="8" borderId="4" xfId="0" applyFont="1" applyFill="1" applyBorder="1" applyAlignment="1">
      <alignment vertical="center"/>
    </xf>
    <xf numFmtId="0" fontId="39" fillId="8" borderId="27" xfId="0" applyFont="1" applyFill="1" applyBorder="1" applyAlignment="1">
      <alignment vertical="center"/>
    </xf>
    <xf numFmtId="0" fontId="39" fillId="8" borderId="28" xfId="0" applyFont="1" applyFill="1" applyBorder="1" applyAlignment="1">
      <alignment vertical="center"/>
    </xf>
    <xf numFmtId="0" fontId="39" fillId="8" borderId="36" xfId="0" applyFont="1" applyFill="1" applyBorder="1"/>
    <xf numFmtId="10" fontId="2" fillId="8" borderId="0" xfId="0" applyNumberFormat="1" applyFont="1" applyFill="1" applyBorder="1" applyAlignment="1">
      <alignment vertical="center" wrapText="1"/>
    </xf>
    <xf numFmtId="0" fontId="1" fillId="8" borderId="0" xfId="0" applyFont="1" applyFill="1" applyBorder="1" applyAlignment="1">
      <alignment vertical="center" wrapText="1"/>
    </xf>
    <xf numFmtId="10" fontId="2" fillId="8" borderId="0" xfId="2" applyNumberFormat="1" applyFont="1" applyFill="1" applyBorder="1" applyAlignment="1">
      <alignment vertical="center" wrapText="1"/>
    </xf>
    <xf numFmtId="10" fontId="0" fillId="0" borderId="0" xfId="2" applyNumberFormat="1" applyFont="1"/>
    <xf numFmtId="0" fontId="2" fillId="8" borderId="0" xfId="0" applyFont="1" applyFill="1" applyBorder="1"/>
    <xf numFmtId="0" fontId="33" fillId="8" borderId="0" xfId="0" applyFont="1" applyFill="1" applyBorder="1" applyAlignment="1">
      <alignment horizontal="right" vertical="center" wrapText="1"/>
    </xf>
    <xf numFmtId="0" fontId="33" fillId="8" borderId="0" xfId="0" applyFont="1" applyFill="1" applyBorder="1" applyAlignment="1">
      <alignment horizontal="right" vertical="center"/>
    </xf>
    <xf numFmtId="0" fontId="2" fillId="8" borderId="0" xfId="0" applyFont="1" applyFill="1" applyBorder="1" applyAlignment="1">
      <alignment horizontal="right" vertical="center" wrapText="1"/>
    </xf>
    <xf numFmtId="0" fontId="32" fillId="0" borderId="27" xfId="0" applyFont="1" applyBorder="1"/>
    <xf numFmtId="0" fontId="38" fillId="8" borderId="28" xfId="0" applyFont="1" applyFill="1" applyBorder="1" applyAlignment="1">
      <alignment wrapText="1"/>
    </xf>
    <xf numFmtId="10" fontId="2" fillId="8" borderId="13" xfId="0" applyNumberFormat="1" applyFont="1" applyFill="1" applyBorder="1" applyAlignment="1">
      <alignment vertical="center" wrapText="1"/>
    </xf>
    <xf numFmtId="0" fontId="1" fillId="8" borderId="13" xfId="0" applyFont="1" applyFill="1" applyBorder="1" applyAlignment="1">
      <alignment vertical="center" wrapText="1"/>
    </xf>
    <xf numFmtId="0" fontId="38" fillId="8" borderId="14" xfId="0" applyFont="1" applyFill="1" applyBorder="1" applyAlignment="1">
      <alignment wrapText="1"/>
    </xf>
    <xf numFmtId="0" fontId="32" fillId="8" borderId="28" xfId="0" applyFont="1" applyFill="1" applyBorder="1"/>
    <xf numFmtId="0" fontId="32" fillId="8" borderId="36" xfId="0" applyFont="1" applyFill="1" applyBorder="1"/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9" xfId="0" applyFont="1" applyBorder="1"/>
    <xf numFmtId="0" fontId="13" fillId="0" borderId="10" xfId="0" applyFont="1" applyBorder="1"/>
    <xf numFmtId="0" fontId="24" fillId="0" borderId="0" xfId="0" applyFont="1" applyAlignment="1">
      <alignment horizontal="right"/>
    </xf>
    <xf numFmtId="0" fontId="33" fillId="8" borderId="0" xfId="0" applyFont="1" applyFill="1" applyBorder="1" applyAlignment="1">
      <alignment horizontal="right"/>
    </xf>
    <xf numFmtId="0" fontId="40" fillId="0" borderId="12" xfId="0" applyFont="1" applyBorder="1"/>
    <xf numFmtId="0" fontId="41" fillId="0" borderId="12" xfId="0" applyFont="1" applyBorder="1"/>
    <xf numFmtId="9" fontId="41" fillId="0" borderId="12" xfId="0" applyNumberFormat="1" applyFont="1" applyBorder="1"/>
    <xf numFmtId="170" fontId="41" fillId="0" borderId="12" xfId="0" applyNumberFormat="1" applyFont="1" applyBorder="1"/>
    <xf numFmtId="10" fontId="41" fillId="0" borderId="12" xfId="2" applyNumberFormat="1" applyFont="1" applyBorder="1"/>
    <xf numFmtId="10" fontId="41" fillId="0" borderId="12" xfId="0" applyNumberFormat="1" applyFont="1" applyBorder="1"/>
    <xf numFmtId="0" fontId="43" fillId="8" borderId="0" xfId="0" applyFont="1" applyFill="1"/>
    <xf numFmtId="0" fontId="42" fillId="8" borderId="0" xfId="0" applyFont="1" applyFill="1"/>
    <xf numFmtId="0" fontId="42" fillId="8" borderId="5" xfId="0" applyFont="1" applyFill="1" applyBorder="1"/>
    <xf numFmtId="0" fontId="42" fillId="8" borderId="13" xfId="0" applyFont="1" applyFill="1" applyBorder="1"/>
    <xf numFmtId="0" fontId="42" fillId="8" borderId="11" xfId="0" applyFont="1" applyFill="1" applyBorder="1"/>
    <xf numFmtId="0" fontId="42" fillId="8" borderId="0" xfId="0" applyFont="1" applyFill="1" applyBorder="1"/>
    <xf numFmtId="0" fontId="42" fillId="8" borderId="15" xfId="0" applyFont="1" applyFill="1" applyBorder="1"/>
    <xf numFmtId="0" fontId="42" fillId="8" borderId="14" xfId="0" applyFont="1" applyFill="1" applyBorder="1"/>
    <xf numFmtId="0" fontId="35" fillId="0" borderId="11" xfId="0" applyFont="1" applyBorder="1"/>
    <xf numFmtId="0" fontId="34" fillId="0" borderId="5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7" fillId="0" borderId="35" xfId="0" applyFont="1" applyBorder="1" applyAlignment="1">
      <alignment horizontal="center" wrapText="1"/>
    </xf>
    <xf numFmtId="0" fontId="35" fillId="0" borderId="38" xfId="0" applyFont="1" applyBorder="1"/>
    <xf numFmtId="0" fontId="34" fillId="0" borderId="27" xfId="0" applyFont="1" applyBorder="1" applyAlignment="1">
      <alignment horizontal="center"/>
    </xf>
    <xf numFmtId="0" fontId="35" fillId="0" borderId="16" xfId="0" applyFont="1" applyFill="1" applyBorder="1"/>
    <xf numFmtId="2" fontId="41" fillId="0" borderId="39" xfId="0" applyNumberFormat="1" applyFont="1" applyFill="1" applyBorder="1" applyAlignment="1">
      <alignment horizontal="right"/>
    </xf>
    <xf numFmtId="167" fontId="41" fillId="0" borderId="39" xfId="0" applyNumberFormat="1" applyFont="1" applyFill="1" applyBorder="1" applyAlignment="1">
      <alignment horizontal="right"/>
    </xf>
    <xf numFmtId="167" fontId="41" fillId="0" borderId="40" xfId="0" applyNumberFormat="1" applyFont="1" applyFill="1" applyBorder="1" applyAlignment="1">
      <alignment horizontal="right"/>
    </xf>
    <xf numFmtId="0" fontId="35" fillId="0" borderId="41" xfId="0" applyFont="1" applyFill="1" applyBorder="1"/>
    <xf numFmtId="2" fontId="41" fillId="0" borderId="29" xfId="0" applyNumberFormat="1" applyFont="1" applyFill="1" applyBorder="1" applyAlignment="1">
      <alignment horizontal="right"/>
    </xf>
    <xf numFmtId="167" fontId="40" fillId="0" borderId="29" xfId="0" applyNumberFormat="1" applyFont="1" applyFill="1" applyBorder="1" applyAlignment="1">
      <alignment horizontal="right"/>
    </xf>
    <xf numFmtId="167" fontId="40" fillId="0" borderId="31" xfId="0" applyNumberFormat="1" applyFont="1" applyFill="1" applyBorder="1" applyAlignment="1">
      <alignment horizontal="right"/>
    </xf>
    <xf numFmtId="167" fontId="41" fillId="0" borderId="29" xfId="0" applyNumberFormat="1" applyFont="1" applyFill="1" applyBorder="1" applyAlignment="1">
      <alignment horizontal="right"/>
    </xf>
    <xf numFmtId="167" fontId="41" fillId="0" borderId="31" xfId="0" applyNumberFormat="1" applyFont="1" applyFill="1" applyBorder="1" applyAlignment="1">
      <alignment horizontal="right"/>
    </xf>
    <xf numFmtId="2" fontId="41" fillId="0" borderId="40" xfId="0" applyNumberFormat="1" applyFont="1" applyFill="1" applyBorder="1" applyAlignment="1">
      <alignment horizontal="right"/>
    </xf>
    <xf numFmtId="2" fontId="41" fillId="0" borderId="31" xfId="0" applyNumberFormat="1" applyFont="1" applyFill="1" applyBorder="1" applyAlignment="1">
      <alignment horizontal="right"/>
    </xf>
    <xf numFmtId="2" fontId="40" fillId="0" borderId="0" xfId="0" applyNumberFormat="1" applyFont="1" applyBorder="1" applyAlignment="1">
      <alignment horizontal="right"/>
    </xf>
    <xf numFmtId="2" fontId="41" fillId="0" borderId="0" xfId="0" applyNumberFormat="1" applyFont="1" applyBorder="1" applyAlignment="1">
      <alignment horizontal="right"/>
    </xf>
    <xf numFmtId="167" fontId="41" fillId="0" borderId="0" xfId="0" applyNumberFormat="1" applyFont="1" applyBorder="1" applyAlignment="1">
      <alignment horizontal="right"/>
    </xf>
    <xf numFmtId="0" fontId="37" fillId="0" borderId="8" xfId="0" applyFont="1" applyFill="1" applyBorder="1"/>
    <xf numFmtId="2" fontId="40" fillId="0" borderId="42" xfId="0" applyNumberFormat="1" applyFont="1" applyBorder="1" applyAlignment="1">
      <alignment horizontal="right"/>
    </xf>
    <xf numFmtId="2" fontId="41" fillId="0" borderId="42" xfId="0" applyNumberFormat="1" applyFont="1" applyBorder="1" applyAlignment="1">
      <alignment horizontal="right"/>
    </xf>
    <xf numFmtId="167" fontId="41" fillId="0" borderId="42" xfId="0" applyNumberFormat="1" applyFont="1" applyBorder="1" applyAlignment="1">
      <alignment horizontal="right"/>
    </xf>
    <xf numFmtId="167" fontId="41" fillId="0" borderId="43" xfId="0" applyNumberFormat="1" applyFont="1" applyBorder="1" applyAlignment="1">
      <alignment horizontal="right"/>
    </xf>
    <xf numFmtId="0" fontId="37" fillId="0" borderId="18" xfId="0" applyFont="1" applyFill="1" applyBorder="1"/>
    <xf numFmtId="0" fontId="36" fillId="0" borderId="20" xfId="0" applyFont="1" applyBorder="1"/>
    <xf numFmtId="2" fontId="40" fillId="0" borderId="30" xfId="0" applyNumberFormat="1" applyFont="1" applyBorder="1" applyAlignment="1">
      <alignment horizontal="right"/>
    </xf>
    <xf numFmtId="2" fontId="41" fillId="0" borderId="30" xfId="0" applyNumberFormat="1" applyFont="1" applyBorder="1" applyAlignment="1">
      <alignment horizontal="right"/>
    </xf>
    <xf numFmtId="167" fontId="41" fillId="0" borderId="30" xfId="0" applyNumberFormat="1" applyFont="1" applyBorder="1" applyAlignment="1">
      <alignment horizontal="right"/>
    </xf>
    <xf numFmtId="167" fontId="41" fillId="0" borderId="34" xfId="0" applyNumberFormat="1" applyFont="1" applyBorder="1" applyAlignment="1">
      <alignment horizontal="right"/>
    </xf>
    <xf numFmtId="0" fontId="36" fillId="0" borderId="17" xfId="0" applyFont="1" applyBorder="1"/>
    <xf numFmtId="0" fontId="40" fillId="9" borderId="8" xfId="0" applyFont="1" applyFill="1" applyBorder="1"/>
    <xf numFmtId="0" fontId="40" fillId="9" borderId="9" xfId="0" applyFont="1" applyFill="1" applyBorder="1"/>
    <xf numFmtId="0" fontId="40" fillId="9" borderId="10" xfId="0" applyFont="1" applyFill="1" applyBorder="1"/>
    <xf numFmtId="9" fontId="40" fillId="9" borderId="9" xfId="0" applyNumberFormat="1" applyFont="1" applyFill="1" applyBorder="1" applyAlignment="1">
      <alignment horizontal="center"/>
    </xf>
    <xf numFmtId="0" fontId="41" fillId="0" borderId="12" xfId="0" applyFont="1" applyFill="1" applyBorder="1"/>
    <xf numFmtId="0" fontId="42" fillId="8" borderId="1" xfId="0" applyFont="1" applyFill="1" applyBorder="1"/>
    <xf numFmtId="0" fontId="42" fillId="8" borderId="2" xfId="0" applyFont="1" applyFill="1" applyBorder="1"/>
    <xf numFmtId="0" fontId="42" fillId="8" borderId="3" xfId="0" applyFont="1" applyFill="1" applyBorder="1"/>
    <xf numFmtId="0" fontId="34" fillId="8" borderId="16" xfId="0" applyFont="1" applyFill="1" applyBorder="1"/>
    <xf numFmtId="0" fontId="35" fillId="8" borderId="16" xfId="0" applyFont="1" applyFill="1" applyBorder="1"/>
    <xf numFmtId="0" fontId="35" fillId="8" borderId="20" xfId="0" applyFont="1" applyFill="1" applyBorder="1"/>
    <xf numFmtId="0" fontId="35" fillId="8" borderId="32" xfId="0" applyFont="1" applyFill="1" applyBorder="1"/>
    <xf numFmtId="0" fontId="37" fillId="8" borderId="35" xfId="0" applyFont="1" applyFill="1" applyBorder="1" applyAlignment="1">
      <alignment horizontal="center" wrapText="1"/>
    </xf>
    <xf numFmtId="0" fontId="37" fillId="8" borderId="3" xfId="0" applyFont="1" applyFill="1" applyBorder="1" applyAlignment="1">
      <alignment horizontal="center" wrapText="1"/>
    </xf>
    <xf numFmtId="0" fontId="35" fillId="8" borderId="35" xfId="0" applyFont="1" applyFill="1" applyBorder="1"/>
    <xf numFmtId="0" fontId="35" fillId="8" borderId="3" xfId="0" applyFont="1" applyFill="1" applyBorder="1"/>
    <xf numFmtId="0" fontId="34" fillId="8" borderId="1" xfId="0" applyFont="1" applyFill="1" applyBorder="1" applyAlignment="1">
      <alignment horizontal="center"/>
    </xf>
    <xf numFmtId="0" fontId="34" fillId="8" borderId="2" xfId="0" applyFont="1" applyFill="1" applyBorder="1" applyAlignment="1">
      <alignment horizontal="center"/>
    </xf>
    <xf numFmtId="0" fontId="34" fillId="8" borderId="33" xfId="0" applyFont="1" applyFill="1" applyBorder="1" applyAlignment="1">
      <alignment horizontal="center"/>
    </xf>
    <xf numFmtId="0" fontId="35" fillId="8" borderId="24" xfId="0" applyFont="1" applyFill="1" applyBorder="1"/>
    <xf numFmtId="0" fontId="35" fillId="8" borderId="38" xfId="0" applyFont="1" applyFill="1" applyBorder="1"/>
    <xf numFmtId="0" fontId="35" fillId="8" borderId="11" xfId="0" applyFont="1" applyFill="1" applyBorder="1"/>
    <xf numFmtId="0" fontId="34" fillId="8" borderId="27" xfId="0" applyFont="1" applyFill="1" applyBorder="1" applyAlignment="1">
      <alignment horizontal="center"/>
    </xf>
    <xf numFmtId="0" fontId="34" fillId="8" borderId="5" xfId="0" applyFont="1" applyFill="1" applyBorder="1" applyAlignment="1">
      <alignment horizontal="center"/>
    </xf>
    <xf numFmtId="0" fontId="34" fillId="8" borderId="13" xfId="0" applyFont="1" applyFill="1" applyBorder="1" applyAlignment="1">
      <alignment horizontal="center"/>
    </xf>
    <xf numFmtId="0" fontId="34" fillId="8" borderId="26" xfId="0" applyFont="1" applyFill="1" applyBorder="1" applyAlignment="1">
      <alignment horizontal="center"/>
    </xf>
    <xf numFmtId="2" fontId="41" fillId="8" borderId="39" xfId="0" applyNumberFormat="1" applyFont="1" applyFill="1" applyBorder="1" applyAlignment="1">
      <alignment horizontal="right"/>
    </xf>
    <xf numFmtId="2" fontId="41" fillId="8" borderId="40" xfId="0" applyNumberFormat="1" applyFont="1" applyFill="1" applyBorder="1" applyAlignment="1">
      <alignment horizontal="right"/>
    </xf>
    <xf numFmtId="0" fontId="35" fillId="8" borderId="41" xfId="0" applyFont="1" applyFill="1" applyBorder="1"/>
    <xf numFmtId="2" fontId="41" fillId="8" borderId="29" xfId="0" applyNumberFormat="1" applyFont="1" applyFill="1" applyBorder="1" applyAlignment="1">
      <alignment horizontal="right"/>
    </xf>
    <xf numFmtId="2" fontId="41" fillId="8" borderId="31" xfId="0" applyNumberFormat="1" applyFont="1" applyFill="1" applyBorder="1" applyAlignment="1">
      <alignment horizontal="right"/>
    </xf>
    <xf numFmtId="167" fontId="41" fillId="8" borderId="39" xfId="0" applyNumberFormat="1" applyFont="1" applyFill="1" applyBorder="1" applyAlignment="1">
      <alignment horizontal="right"/>
    </xf>
    <xf numFmtId="167" fontId="41" fillId="8" borderId="40" xfId="0" applyNumberFormat="1" applyFont="1" applyFill="1" applyBorder="1" applyAlignment="1">
      <alignment horizontal="right"/>
    </xf>
    <xf numFmtId="167" fontId="40" fillId="8" borderId="29" xfId="0" applyNumberFormat="1" applyFont="1" applyFill="1" applyBorder="1" applyAlignment="1">
      <alignment horizontal="right"/>
    </xf>
    <xf numFmtId="167" fontId="40" fillId="8" borderId="31" xfId="0" applyNumberFormat="1" applyFont="1" applyFill="1" applyBorder="1" applyAlignment="1">
      <alignment horizontal="right"/>
    </xf>
    <xf numFmtId="0" fontId="37" fillId="8" borderId="8" xfId="0" applyFont="1" applyFill="1" applyBorder="1"/>
    <xf numFmtId="2" fontId="40" fillId="8" borderId="42" xfId="0" applyNumberFormat="1" applyFont="1" applyFill="1" applyBorder="1" applyAlignment="1">
      <alignment horizontal="right"/>
    </xf>
    <xf numFmtId="2" fontId="41" fillId="8" borderId="42" xfId="0" applyNumberFormat="1" applyFont="1" applyFill="1" applyBorder="1" applyAlignment="1">
      <alignment horizontal="right"/>
    </xf>
    <xf numFmtId="167" fontId="41" fillId="8" borderId="42" xfId="0" applyNumberFormat="1" applyFont="1" applyFill="1" applyBorder="1" applyAlignment="1">
      <alignment horizontal="right"/>
    </xf>
    <xf numFmtId="167" fontId="41" fillId="8" borderId="43" xfId="0" applyNumberFormat="1" applyFont="1" applyFill="1" applyBorder="1" applyAlignment="1">
      <alignment horizontal="right"/>
    </xf>
    <xf numFmtId="0" fontId="37" fillId="8" borderId="18" xfId="0" applyFont="1" applyFill="1" applyBorder="1"/>
    <xf numFmtId="2" fontId="40" fillId="8" borderId="0" xfId="0" applyNumberFormat="1" applyFont="1" applyFill="1" applyBorder="1" applyAlignment="1">
      <alignment horizontal="right"/>
    </xf>
    <xf numFmtId="2" fontId="41" fillId="8" borderId="0" xfId="0" applyNumberFormat="1" applyFont="1" applyFill="1" applyBorder="1" applyAlignment="1">
      <alignment horizontal="right"/>
    </xf>
    <xf numFmtId="167" fontId="41" fillId="8" borderId="0" xfId="0" applyNumberFormat="1" applyFont="1" applyFill="1" applyBorder="1" applyAlignment="1">
      <alignment horizontal="right"/>
    </xf>
    <xf numFmtId="0" fontId="36" fillId="8" borderId="20" xfId="0" applyFont="1" applyFill="1" applyBorder="1"/>
    <xf numFmtId="167" fontId="41" fillId="8" borderId="29" xfId="0" applyNumberFormat="1" applyFont="1" applyFill="1" applyBorder="1" applyAlignment="1">
      <alignment horizontal="right"/>
    </xf>
    <xf numFmtId="167" fontId="41" fillId="8" borderId="31" xfId="0" applyNumberFormat="1" applyFont="1" applyFill="1" applyBorder="1" applyAlignment="1">
      <alignment horizontal="right"/>
    </xf>
    <xf numFmtId="0" fontId="37" fillId="8" borderId="19" xfId="0" applyFont="1" applyFill="1" applyBorder="1"/>
    <xf numFmtId="2" fontId="40" fillId="8" borderId="30" xfId="0" applyNumberFormat="1" applyFont="1" applyFill="1" applyBorder="1" applyAlignment="1">
      <alignment horizontal="right"/>
    </xf>
    <xf numFmtId="2" fontId="41" fillId="8" borderId="30" xfId="0" applyNumberFormat="1" applyFont="1" applyFill="1" applyBorder="1" applyAlignment="1">
      <alignment horizontal="right"/>
    </xf>
    <xf numFmtId="167" fontId="41" fillId="8" borderId="30" xfId="0" applyNumberFormat="1" applyFont="1" applyFill="1" applyBorder="1" applyAlignment="1">
      <alignment horizontal="right"/>
    </xf>
    <xf numFmtId="167" fontId="41" fillId="8" borderId="34" xfId="0" applyNumberFormat="1" applyFont="1" applyFill="1" applyBorder="1" applyAlignment="1">
      <alignment horizontal="right"/>
    </xf>
    <xf numFmtId="0" fontId="24" fillId="0" borderId="0" xfId="0" applyFont="1" applyAlignment="1">
      <alignment horizontal="justify"/>
    </xf>
    <xf numFmtId="0" fontId="0" fillId="0" borderId="0" xfId="0" applyAlignment="1"/>
    <xf numFmtId="0" fontId="24" fillId="0" borderId="0" xfId="0" applyFont="1" applyAlignment="1">
      <alignment horizontal="justify" vertical="top"/>
    </xf>
    <xf numFmtId="0" fontId="0" fillId="0" borderId="0" xfId="0" applyAlignment="1">
      <alignment vertical="top"/>
    </xf>
    <xf numFmtId="0" fontId="24" fillId="0" borderId="0" xfId="0" applyFont="1" applyAlignment="1">
      <alignment vertical="top"/>
    </xf>
    <xf numFmtId="0" fontId="37" fillId="0" borderId="6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0" fillId="0" borderId="37" xfId="0" applyBorder="1" applyAlignment="1"/>
    <xf numFmtId="0" fontId="35" fillId="0" borderId="20" xfId="0" applyFont="1" applyBorder="1" applyAlignment="1"/>
    <xf numFmtId="0" fontId="0" fillId="0" borderId="17" xfId="0" applyBorder="1" applyAlignment="1"/>
    <xf numFmtId="0" fontId="35" fillId="8" borderId="20" xfId="0" applyFont="1" applyFill="1" applyBorder="1" applyAlignment="1"/>
    <xf numFmtId="0" fontId="0" fillId="8" borderId="17" xfId="0" applyFill="1" applyBorder="1" applyAlignment="1"/>
    <xf numFmtId="0" fontId="37" fillId="8" borderId="6" xfId="0" applyFont="1" applyFill="1" applyBorder="1" applyAlignment="1">
      <alignment horizontal="center"/>
    </xf>
    <xf numFmtId="0" fontId="36" fillId="8" borderId="4" xfId="0" applyFont="1" applyFill="1" applyBorder="1" applyAlignment="1">
      <alignment horizontal="center"/>
    </xf>
    <xf numFmtId="0" fontId="0" fillId="8" borderId="37" xfId="0" applyFill="1" applyBorder="1" applyAlignment="1"/>
  </cellXfs>
  <cellStyles count="3">
    <cellStyle name="Normální" xfId="0" builtinId="0"/>
    <cellStyle name="normální_Banking 9-2005 (test)_v3" xfId="1" xr:uid="{00000000-0005-0000-0000-000002000000}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Il</a:t>
            </a:r>
            <a:r>
              <a:rPr lang="cs-CZ"/>
              <a:t>lustrative yield curve - ST rates are rising, LT rates are</a:t>
            </a:r>
          </a:p>
          <a:p>
            <a:pPr>
              <a:defRPr/>
            </a:pPr>
            <a:r>
              <a:rPr lang="cs-CZ"/>
              <a:t> stable</a:t>
            </a:r>
          </a:p>
        </c:rich>
      </c:tx>
      <c:layout>
        <c:manualLayout>
          <c:xMode val="edge"/>
          <c:yMode val="edge"/>
          <c:x val="0.13414566929133859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'Yield curve'!$B$1</c:f>
              <c:strCache>
                <c:ptCount val="1"/>
                <c:pt idx="0">
                  <c:v>Original yield curve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'Yield curve'!$A$2:$A$6</c:f>
              <c:strCache>
                <c:ptCount val="5"/>
                <c:pt idx="0">
                  <c:v>3M</c:v>
                </c:pt>
                <c:pt idx="1">
                  <c:v>6M</c:v>
                </c:pt>
                <c:pt idx="2">
                  <c:v>2Y</c:v>
                </c:pt>
                <c:pt idx="3">
                  <c:v>7Y</c:v>
                </c:pt>
                <c:pt idx="4">
                  <c:v>30Y</c:v>
                </c:pt>
              </c:strCache>
            </c:strRef>
          </c:cat>
          <c:val>
            <c:numRef>
              <c:f>'Yield curve'!$B$2:$B$6</c:f>
              <c:numCache>
                <c:formatCode>0.00%</c:formatCode>
                <c:ptCount val="5"/>
                <c:pt idx="0">
                  <c:v>1E-3</c:v>
                </c:pt>
                <c:pt idx="1">
                  <c:v>2E-3</c:v>
                </c:pt>
                <c:pt idx="2" formatCode="0%">
                  <c:v>0.03</c:v>
                </c:pt>
                <c:pt idx="3">
                  <c:v>0.04</c:v>
                </c:pt>
                <c:pt idx="4" formatCode="0%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34-42E1-ADAC-092136198E6A}"/>
            </c:ext>
          </c:extLst>
        </c:ser>
        <c:ser>
          <c:idx val="1"/>
          <c:order val="1"/>
          <c:tx>
            <c:strRef>
              <c:f>'Yield curve'!$C$1</c:f>
              <c:strCache>
                <c:ptCount val="1"/>
                <c:pt idx="0">
                  <c:v>After the ST shock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'Yield curve'!$A$2:$A$6</c:f>
              <c:strCache>
                <c:ptCount val="5"/>
                <c:pt idx="0">
                  <c:v>3M</c:v>
                </c:pt>
                <c:pt idx="1">
                  <c:v>6M</c:v>
                </c:pt>
                <c:pt idx="2">
                  <c:v>2Y</c:v>
                </c:pt>
                <c:pt idx="3">
                  <c:v>7Y</c:v>
                </c:pt>
                <c:pt idx="4">
                  <c:v>30Y</c:v>
                </c:pt>
              </c:strCache>
            </c:strRef>
          </c:cat>
          <c:val>
            <c:numRef>
              <c:f>'Yield curve'!$C$2:$C$6</c:f>
              <c:numCache>
                <c:formatCode>0%</c:formatCode>
                <c:ptCount val="5"/>
                <c:pt idx="0" formatCode="0.00%">
                  <c:v>2.1000000000000001E-2</c:v>
                </c:pt>
                <c:pt idx="1">
                  <c:v>2.1999999999999999E-2</c:v>
                </c:pt>
                <c:pt idx="2" formatCode="0.00%">
                  <c:v>3.1E-2</c:v>
                </c:pt>
                <c:pt idx="3">
                  <c:v>4.2000000000000003E-2</c:v>
                </c:pt>
                <c:pt idx="4" formatCode="0.00%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34-42E1-ADAC-092136198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708768"/>
        <c:axId val="129177760"/>
      </c:lineChart>
      <c:catAx>
        <c:axId val="16270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9177760"/>
        <c:crosses val="autoZero"/>
        <c:auto val="1"/>
        <c:lblAlgn val="ctr"/>
        <c:lblOffset val="100"/>
        <c:noMultiLvlLbl val="0"/>
      </c:catAx>
      <c:valAx>
        <c:axId val="12917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270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Yield </a:t>
            </a:r>
            <a:r>
              <a:rPr lang="cs-CZ"/>
              <a:t>curve, before and</a:t>
            </a:r>
            <a:r>
              <a:rPr lang="cs-CZ" baseline="0"/>
              <a:t> after the shocks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'Example 2'!$Q$15</c:f>
              <c:strCache>
                <c:ptCount val="1"/>
                <c:pt idx="0">
                  <c:v>Spot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'Example 2'!$R$14:$U$14</c:f>
              <c:strCache>
                <c:ptCount val="4"/>
                <c:pt idx="0">
                  <c:v>1Y</c:v>
                </c:pt>
                <c:pt idx="1">
                  <c:v>2Y</c:v>
                </c:pt>
                <c:pt idx="2">
                  <c:v>3Y</c:v>
                </c:pt>
                <c:pt idx="3">
                  <c:v>4Y</c:v>
                </c:pt>
              </c:strCache>
            </c:strRef>
          </c:cat>
          <c:val>
            <c:numRef>
              <c:f>'Example 2'!$R$15:$U$15</c:f>
              <c:numCache>
                <c:formatCode>0.00%</c:formatCode>
                <c:ptCount val="4"/>
                <c:pt idx="0">
                  <c:v>0.02</c:v>
                </c:pt>
                <c:pt idx="1">
                  <c:v>0.03</c:v>
                </c:pt>
                <c:pt idx="2">
                  <c:v>3.5000000000000003E-2</c:v>
                </c:pt>
                <c:pt idx="3">
                  <c:v>3.7999999999999999E-2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D1-4747-BA44-D6DD53148923}"/>
            </c:ext>
          </c:extLst>
        </c:ser>
        <c:ser>
          <c:idx val="1"/>
          <c:order val="1"/>
          <c:tx>
            <c:strRef>
              <c:f>'Example 2'!$Q$16</c:f>
              <c:strCache>
                <c:ptCount val="1"/>
                <c:pt idx="0">
                  <c:v>Parallel shift + 200 bps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'Example 2'!$R$14:$U$14</c:f>
              <c:strCache>
                <c:ptCount val="4"/>
                <c:pt idx="0">
                  <c:v>1Y</c:v>
                </c:pt>
                <c:pt idx="1">
                  <c:v>2Y</c:v>
                </c:pt>
                <c:pt idx="2">
                  <c:v>3Y</c:v>
                </c:pt>
                <c:pt idx="3">
                  <c:v>4Y</c:v>
                </c:pt>
              </c:strCache>
            </c:strRef>
          </c:cat>
          <c:val>
            <c:numRef>
              <c:f>'Example 2'!$R$16:$U$16</c:f>
              <c:numCache>
                <c:formatCode>0.00%</c:formatCode>
                <c:ptCount val="4"/>
                <c:pt idx="0">
                  <c:v>0.04</c:v>
                </c:pt>
                <c:pt idx="1">
                  <c:v>0.05</c:v>
                </c:pt>
                <c:pt idx="2">
                  <c:v>5.5000000000000007E-2</c:v>
                </c:pt>
                <c:pt idx="3">
                  <c:v>5.7999999999999996E-2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D1-4747-BA44-D6DD53148923}"/>
            </c:ext>
          </c:extLst>
        </c:ser>
        <c:ser>
          <c:idx val="2"/>
          <c:order val="2"/>
          <c:tx>
            <c:strRef>
              <c:f>'Example 2'!$Q$17</c:f>
              <c:strCache>
                <c:ptCount val="1"/>
                <c:pt idx="0">
                  <c:v>Parallel shift - 200 bps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'Example 2'!$R$14:$U$14</c:f>
              <c:strCache>
                <c:ptCount val="4"/>
                <c:pt idx="0">
                  <c:v>1Y</c:v>
                </c:pt>
                <c:pt idx="1">
                  <c:v>2Y</c:v>
                </c:pt>
                <c:pt idx="2">
                  <c:v>3Y</c:v>
                </c:pt>
                <c:pt idx="3">
                  <c:v>4Y</c:v>
                </c:pt>
              </c:strCache>
            </c:strRef>
          </c:cat>
          <c:val>
            <c:numRef>
              <c:f>'Example 2'!$R$17:$U$17</c:f>
              <c:numCache>
                <c:formatCode>0.00%</c:formatCode>
                <c:ptCount val="4"/>
                <c:pt idx="0">
                  <c:v>0</c:v>
                </c:pt>
                <c:pt idx="1">
                  <c:v>9.9999999999999985E-3</c:v>
                </c:pt>
                <c:pt idx="2">
                  <c:v>1.5000000000000003E-2</c:v>
                </c:pt>
                <c:pt idx="3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D1-4747-BA44-D6DD53148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955448"/>
        <c:axId val="591970208"/>
      </c:lineChart>
      <c:catAx>
        <c:axId val="59195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91970208"/>
        <c:crosses val="autoZero"/>
        <c:auto val="1"/>
        <c:lblAlgn val="ctr"/>
        <c:lblOffset val="100"/>
        <c:noMultiLvlLbl val="0"/>
      </c:catAx>
      <c:valAx>
        <c:axId val="59197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91955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22</xdr:row>
      <xdr:rowOff>9525</xdr:rowOff>
    </xdr:to>
    <xdr:pic>
      <xdr:nvPicPr>
        <xdr:cNvPr id="4132" name="Picture 1">
          <a:extLst>
            <a:ext uri="{FF2B5EF4-FFF2-40B4-BE49-F238E27FC236}">
              <a16:creationId xmlns:a16="http://schemas.microsoft.com/office/drawing/2014/main" id="{00000000-0008-0000-0100-00002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15050" cy="387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17</xdr:row>
      <xdr:rowOff>114300</xdr:rowOff>
    </xdr:to>
    <xdr:pic>
      <xdr:nvPicPr>
        <xdr:cNvPr id="5156" name="Picture 1">
          <a:extLst>
            <a:ext uri="{FF2B5EF4-FFF2-40B4-BE49-F238E27FC236}">
              <a16:creationId xmlns:a16="http://schemas.microsoft.com/office/drawing/2014/main" id="{00000000-0008-0000-0300-00002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115050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13</xdr:col>
      <xdr:colOff>209550</xdr:colOff>
      <xdr:row>58</xdr:row>
      <xdr:rowOff>0</xdr:rowOff>
    </xdr:to>
    <xdr:pic>
      <xdr:nvPicPr>
        <xdr:cNvPr id="1098" name="Picture 4">
          <a:extLst>
            <a:ext uri="{FF2B5EF4-FFF2-40B4-BE49-F238E27FC236}">
              <a16:creationId xmlns:a16="http://schemas.microsoft.com/office/drawing/2014/main" id="{00000000-0008-0000-04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6267450" cy="874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1</xdr:row>
      <xdr:rowOff>66675</xdr:rowOff>
    </xdr:from>
    <xdr:to>
      <xdr:col>12</xdr:col>
      <xdr:colOff>28575</xdr:colOff>
      <xdr:row>3</xdr:row>
      <xdr:rowOff>76200</xdr:rowOff>
    </xdr:to>
    <xdr:pic>
      <xdr:nvPicPr>
        <xdr:cNvPr id="1099" name="Picture 5">
          <a:extLst>
            <a:ext uri="{FF2B5EF4-FFF2-40B4-BE49-F238E27FC236}">
              <a16:creationId xmlns:a16="http://schemas.microsoft.com/office/drawing/2014/main" id="{00000000-0008-0000-04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28600"/>
          <a:ext cx="5362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146050</xdr:colOff>
      <xdr:row>2</xdr:row>
      <xdr:rowOff>6350</xdr:rowOff>
    </xdr:from>
    <xdr:to>
      <xdr:col>10</xdr:col>
      <xdr:colOff>450850</xdr:colOff>
      <xdr:row>19</xdr:row>
      <xdr:rowOff>50800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19546AB-2A81-43DA-89B3-84781697DD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396240</xdr:colOff>
      <xdr:row>7</xdr:row>
      <xdr:rowOff>45720</xdr:rowOff>
    </xdr:from>
    <xdr:to>
      <xdr:col>15</xdr:col>
      <xdr:colOff>274320</xdr:colOff>
      <xdr:row>22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FC4F9DF9-4025-4431-89A0-08E9252858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3!5-12\vk2000\5-12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ŘADA"/>
      <sheetName val="A99"/>
      <sheetName val="01"/>
      <sheetName val="02"/>
      <sheetName val="03"/>
      <sheetName val="05"/>
      <sheetName val="07"/>
      <sheetName val="TISK"/>
      <sheetName val="List1"/>
      <sheetName val="LIST"/>
    </sheetNames>
    <sheetDataSet>
      <sheetData sheetId="0">
        <row r="5">
          <cell r="D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1">
          <cell r="B121" t="str">
            <v>A99!$B$6:$DZ42</v>
          </cell>
        </row>
        <row r="122">
          <cell r="B122" t="str">
            <v>A99!$B$43:$DZ79</v>
          </cell>
        </row>
        <row r="123">
          <cell r="B123" t="str">
            <v>A99!$B$80:$DZ116</v>
          </cell>
        </row>
        <row r="124">
          <cell r="B124" t="str">
            <v>A99!$B$117:$DZ153</v>
          </cell>
        </row>
        <row r="125">
          <cell r="B125" t="str">
            <v>A99!$B$154:$DZ190</v>
          </cell>
        </row>
        <row r="126">
          <cell r="B126" t="str">
            <v>A99!$B$191:$DZ227</v>
          </cell>
        </row>
        <row r="127">
          <cell r="B127" t="str">
            <v>A99!$B$228:$DZ264</v>
          </cell>
        </row>
        <row r="128">
          <cell r="B128" t="str">
            <v>A99!$B$265:$DZ301</v>
          </cell>
        </row>
        <row r="129">
          <cell r="B129" t="str">
            <v>A99!$B$302:$DZ338</v>
          </cell>
        </row>
        <row r="130">
          <cell r="B130" t="str">
            <v>A99!$B$339:$DZ375</v>
          </cell>
        </row>
        <row r="131">
          <cell r="B131" t="str">
            <v>A99!$B$376:$DZ412</v>
          </cell>
        </row>
        <row r="132">
          <cell r="B132" t="str">
            <v>A99!$B$413:$DZ449</v>
          </cell>
        </row>
        <row r="133">
          <cell r="B133" t="str">
            <v>A99!$B$450:$DZ486</v>
          </cell>
        </row>
        <row r="134">
          <cell r="B134" t="str">
            <v>A99!$B$487:$DZ523</v>
          </cell>
        </row>
        <row r="135">
          <cell r="B135" t="str">
            <v>A99!$B$524:$DZ560</v>
          </cell>
        </row>
        <row r="136">
          <cell r="B136" t="str">
            <v>A99!$B$561:$DZ597</v>
          </cell>
        </row>
        <row r="137">
          <cell r="B137" t="str">
            <v>A99!$B$598:$DZ634</v>
          </cell>
        </row>
        <row r="138">
          <cell r="B138" t="str">
            <v>A99!$B$635:$DZ671</v>
          </cell>
        </row>
        <row r="139">
          <cell r="B139" t="str">
            <v>A99!$B$672:$DZ708</v>
          </cell>
        </row>
        <row r="140">
          <cell r="B140" t="str">
            <v>A99!$B$709:$DZ745</v>
          </cell>
        </row>
        <row r="141">
          <cell r="B141" t="str">
            <v>A99!$B$746:$DZ782</v>
          </cell>
        </row>
        <row r="142">
          <cell r="B142" t="str">
            <v>A99!$B$783:$DZ819</v>
          </cell>
        </row>
        <row r="143">
          <cell r="B143" t="str">
            <v>A99!$B$820:$DZ856</v>
          </cell>
        </row>
        <row r="144">
          <cell r="B144" t="str">
            <v>A99!$B$857:$DZ893</v>
          </cell>
        </row>
        <row r="145">
          <cell r="B145" t="str">
            <v>A99!$B$894:$DZ930</v>
          </cell>
        </row>
        <row r="146">
          <cell r="B146" t="str">
            <v>A99!$B$931:$DZ967</v>
          </cell>
        </row>
        <row r="147">
          <cell r="B147" t="str">
            <v>A99!$B$968:$DZ1004</v>
          </cell>
        </row>
        <row r="148">
          <cell r="B148" t="str">
            <v>A99!$B$1005:$DZ1041</v>
          </cell>
        </row>
        <row r="149">
          <cell r="B149" t="str">
            <v>A99!$B$1042:$DZ1078</v>
          </cell>
        </row>
        <row r="150">
          <cell r="B150" t="str">
            <v>A99!$B$1079:$DZ1115</v>
          </cell>
        </row>
        <row r="151">
          <cell r="B151" t="str">
            <v>A99!$B$1116:$DZ1152</v>
          </cell>
        </row>
        <row r="152">
          <cell r="B152" t="str">
            <v>A99!$B$1153:$DZ1189</v>
          </cell>
        </row>
        <row r="153">
          <cell r="B153" t="str">
            <v>A99!$B$1190:$DZ1226</v>
          </cell>
        </row>
        <row r="154">
          <cell r="B154" t="str">
            <v>A99!$B$1227:$DZ1263</v>
          </cell>
        </row>
        <row r="155">
          <cell r="B155" t="str">
            <v>A99!$B$1264:$DZ1300</v>
          </cell>
        </row>
        <row r="156">
          <cell r="B156" t="str">
            <v>A99!$B$1301:$DZ1337</v>
          </cell>
        </row>
        <row r="157">
          <cell r="B157" t="str">
            <v>A99!$B$1338:$DZ1374</v>
          </cell>
        </row>
        <row r="158">
          <cell r="B158" t="str">
            <v>A99!$B$1375:$DZ1411</v>
          </cell>
        </row>
        <row r="159">
          <cell r="B159" t="str">
            <v>A99!$B$1412:$DZ1448</v>
          </cell>
        </row>
        <row r="160">
          <cell r="B160" t="str">
            <v>A99!$B$1449:$DZ1485</v>
          </cell>
        </row>
        <row r="161">
          <cell r="B161" t="str">
            <v>A99!$B$1486:$DZ1522</v>
          </cell>
        </row>
        <row r="162">
          <cell r="B162" t="str">
            <v>A99!$B$1523:$DZ1559</v>
          </cell>
        </row>
        <row r="163">
          <cell r="B163" t="str">
            <v>A99!$B$1560:$DZ1596</v>
          </cell>
        </row>
        <row r="164">
          <cell r="B164" t="str">
            <v>A99!$B$1597:$DZ1633</v>
          </cell>
        </row>
        <row r="165">
          <cell r="B165" t="str">
            <v>A99!$B$1634:$DZ1670</v>
          </cell>
        </row>
        <row r="166">
          <cell r="B166" t="str">
            <v>A99!$B$1671:$DZ1707</v>
          </cell>
        </row>
        <row r="167">
          <cell r="B167" t="str">
            <v>A99!$B$1708:$DZ1744</v>
          </cell>
        </row>
        <row r="168">
          <cell r="B168" t="str">
            <v>A99!$B$1745:$DZ1781</v>
          </cell>
        </row>
        <row r="169">
          <cell r="B169" t="str">
            <v>A99!$B$1782:$DZ1818</v>
          </cell>
        </row>
        <row r="170">
          <cell r="B170" t="str">
            <v>A99!$B$1819:$DZ1855</v>
          </cell>
        </row>
        <row r="171">
          <cell r="B171" t="str">
            <v>A99!$B$1856:$DZ1892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5"/>
  <sheetViews>
    <sheetView workbookViewId="0">
      <selection activeCell="B23" sqref="B23"/>
    </sheetView>
  </sheetViews>
  <sheetFormatPr defaultRowHeight="13.2" x14ac:dyDescent="0.25"/>
  <cols>
    <col min="2" max="2" width="90.77734375" customWidth="1"/>
  </cols>
  <sheetData>
    <row r="2" spans="2:4" ht="15.6" x14ac:dyDescent="0.3">
      <c r="B2" s="35"/>
      <c r="D2" s="36"/>
    </row>
    <row r="3" spans="2:4" ht="15" x14ac:dyDescent="0.25">
      <c r="B3" s="37"/>
    </row>
    <row r="4" spans="2:4" ht="15" x14ac:dyDescent="0.25">
      <c r="B4" s="37"/>
    </row>
    <row r="5" spans="2:4" ht="15" x14ac:dyDescent="0.25">
      <c r="B5" s="37"/>
    </row>
  </sheetData>
  <phoneticPr fontId="0" type="noConversion"/>
  <pageMargins left="0.75" right="0.75" top="1" bottom="1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ED8B4-47E3-4023-BED3-F83708939650}">
  <dimension ref="A1:D7"/>
  <sheetViews>
    <sheetView workbookViewId="0">
      <selection activeCell="C20" sqref="C20"/>
    </sheetView>
  </sheetViews>
  <sheetFormatPr defaultRowHeight="13.2" x14ac:dyDescent="0.25"/>
  <cols>
    <col min="1" max="1" width="41.5546875" customWidth="1"/>
    <col min="2" max="2" width="17.88671875" customWidth="1"/>
    <col min="3" max="3" width="32.88671875" customWidth="1"/>
    <col min="4" max="4" width="15.88671875" customWidth="1"/>
  </cols>
  <sheetData>
    <row r="1" spans="1:4" ht="13.8" x14ac:dyDescent="0.3">
      <c r="A1" s="196" t="s">
        <v>151</v>
      </c>
      <c r="B1" s="197"/>
      <c r="C1" s="197"/>
      <c r="D1" s="197"/>
    </row>
    <row r="2" spans="1:4" ht="13.8" x14ac:dyDescent="0.3">
      <c r="A2" s="198" t="s">
        <v>153</v>
      </c>
      <c r="B2" s="199">
        <v>100</v>
      </c>
      <c r="C2" s="198" t="s">
        <v>154</v>
      </c>
      <c r="D2" s="200">
        <v>80</v>
      </c>
    </row>
    <row r="3" spans="1:4" ht="13.8" x14ac:dyDescent="0.3">
      <c r="A3" s="202" t="s">
        <v>155</v>
      </c>
      <c r="B3" s="201">
        <v>120</v>
      </c>
      <c r="C3" s="202" t="s">
        <v>152</v>
      </c>
      <c r="D3" s="203">
        <v>130</v>
      </c>
    </row>
    <row r="4" spans="1:4" ht="13.8" x14ac:dyDescent="0.3">
      <c r="A4" s="202"/>
      <c r="B4" s="201"/>
      <c r="C4" s="202"/>
      <c r="D4" s="203"/>
    </row>
    <row r="5" spans="1:4" ht="13.8" x14ac:dyDescent="0.3">
      <c r="A5" s="202"/>
      <c r="B5" s="201"/>
      <c r="C5" s="202" t="s">
        <v>113</v>
      </c>
      <c r="D5" s="203">
        <v>10</v>
      </c>
    </row>
    <row r="6" spans="1:4" ht="13.8" x14ac:dyDescent="0.3">
      <c r="A6" s="243"/>
      <c r="B6" s="244">
        <f>B2+B3</f>
        <v>220</v>
      </c>
      <c r="C6" s="243"/>
      <c r="D6" s="245">
        <f>D2+D3+D5</f>
        <v>220</v>
      </c>
    </row>
    <row r="7" spans="1:4" x14ac:dyDescent="0.25">
      <c r="A7" s="136"/>
      <c r="B7" s="136"/>
      <c r="C7" s="136"/>
      <c r="D7" s="136"/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0E4E7-889A-4F88-A4C5-FA27A10FA3B5}">
  <dimension ref="A1:U62"/>
  <sheetViews>
    <sheetView tabSelected="1" topLeftCell="A32" workbookViewId="0">
      <selection activeCell="L36" sqref="L36"/>
    </sheetView>
  </sheetViews>
  <sheetFormatPr defaultRowHeight="13.2" x14ac:dyDescent="0.25"/>
  <cols>
    <col min="3" max="3" width="9.21875" customWidth="1"/>
    <col min="11" max="11" width="12.5546875" customWidth="1"/>
    <col min="12" max="12" width="11.44140625" customWidth="1"/>
    <col min="17" max="17" width="16.88671875" customWidth="1"/>
  </cols>
  <sheetData>
    <row r="1" spans="1:21" ht="13.8" thickBot="1" x14ac:dyDescent="0.3"/>
    <row r="2" spans="1:21" x14ac:dyDescent="0.25">
      <c r="A2" s="246" t="s">
        <v>168</v>
      </c>
      <c r="B2" s="247"/>
      <c r="C2" s="248"/>
      <c r="D2" s="248"/>
      <c r="E2" s="248"/>
      <c r="F2" s="248"/>
      <c r="G2" s="300"/>
      <c r="H2" s="301"/>
      <c r="I2" s="139"/>
      <c r="J2" s="139"/>
      <c r="K2" s="139"/>
      <c r="L2" s="139"/>
    </row>
    <row r="3" spans="1:21" ht="23.4" x14ac:dyDescent="0.25">
      <c r="A3" s="249"/>
      <c r="B3" s="250" t="s">
        <v>116</v>
      </c>
      <c r="C3" s="251" t="s">
        <v>117</v>
      </c>
      <c r="D3" s="302" t="s">
        <v>166</v>
      </c>
      <c r="E3" s="303"/>
      <c r="F3" s="303"/>
      <c r="G3" s="303"/>
      <c r="H3" s="304"/>
      <c r="I3" s="139"/>
      <c r="J3" s="142"/>
      <c r="K3" s="190" t="s">
        <v>122</v>
      </c>
      <c r="L3" s="190" t="s">
        <v>123</v>
      </c>
      <c r="M3" s="190" t="s">
        <v>124</v>
      </c>
    </row>
    <row r="4" spans="1:21" x14ac:dyDescent="0.25">
      <c r="A4" s="249"/>
      <c r="B4" s="252"/>
      <c r="C4" s="253"/>
      <c r="D4" s="254" t="s">
        <v>158</v>
      </c>
      <c r="E4" s="254" t="s">
        <v>118</v>
      </c>
      <c r="F4" s="255" t="s">
        <v>119</v>
      </c>
      <c r="G4" s="255" t="s">
        <v>120</v>
      </c>
      <c r="H4" s="256" t="s">
        <v>121</v>
      </c>
      <c r="J4" s="191">
        <v>1</v>
      </c>
      <c r="K4" s="192">
        <v>0.02</v>
      </c>
      <c r="L4" s="193">
        <f>1/(1+K4)</f>
        <v>0.98039215686274506</v>
      </c>
      <c r="M4" s="192"/>
    </row>
    <row r="5" spans="1:21" ht="13.8" thickBot="1" x14ac:dyDescent="0.3">
      <c r="A5" s="257"/>
      <c r="B5" s="258"/>
      <c r="C5" s="259"/>
      <c r="D5" s="260" t="s">
        <v>159</v>
      </c>
      <c r="E5" s="261" t="s">
        <v>160</v>
      </c>
      <c r="F5" s="262" t="s">
        <v>161</v>
      </c>
      <c r="G5" s="262" t="s">
        <v>162</v>
      </c>
      <c r="H5" s="263" t="s">
        <v>163</v>
      </c>
      <c r="J5" s="191">
        <v>2</v>
      </c>
      <c r="K5" s="192">
        <v>0.03</v>
      </c>
      <c r="L5" s="193">
        <f>1/((1+K5)*(1+K5))</f>
        <v>0.94259590913375435</v>
      </c>
      <c r="M5" s="194">
        <f>((1+K5)*(1+K5))/(1+K4)-1</f>
        <v>4.0098039215686221E-2</v>
      </c>
    </row>
    <row r="6" spans="1:21" s="19" customFormat="1" x14ac:dyDescent="0.25">
      <c r="A6" s="247" t="s">
        <v>156</v>
      </c>
      <c r="B6" s="264">
        <f>(E6*L4)+(F6*L5)+(G6*L6)+(H6*L7)</f>
        <v>99.043331645656181</v>
      </c>
      <c r="C6" s="264">
        <v>100</v>
      </c>
      <c r="D6" s="264">
        <v>0</v>
      </c>
      <c r="E6" s="264">
        <v>3.5</v>
      </c>
      <c r="F6" s="264">
        <v>3.5</v>
      </c>
      <c r="G6" s="264">
        <v>3.5</v>
      </c>
      <c r="H6" s="265">
        <v>103.5</v>
      </c>
      <c r="J6" s="191">
        <v>3</v>
      </c>
      <c r="K6" s="195">
        <v>3.5000000000000003E-2</v>
      </c>
      <c r="L6" s="193">
        <f>1/((1+K6)*(1+K6)*(1+K6))</f>
        <v>0.90194270566802237</v>
      </c>
      <c r="M6" s="194">
        <f>((1+K6)^3)/((1+K4)*(1+M5))-1</f>
        <v>4.5072933358468958E-2</v>
      </c>
    </row>
    <row r="7" spans="1:21" s="19" customFormat="1" ht="13.8" thickBot="1" x14ac:dyDescent="0.3">
      <c r="A7" s="266" t="s">
        <v>157</v>
      </c>
      <c r="B7" s="267">
        <f>C7</f>
        <v>120</v>
      </c>
      <c r="C7" s="267">
        <f>'Example 2 - opening balance'!B3</f>
        <v>120</v>
      </c>
      <c r="D7" s="267">
        <v>120</v>
      </c>
      <c r="E7" s="267"/>
      <c r="F7" s="267"/>
      <c r="G7" s="267"/>
      <c r="H7" s="268"/>
      <c r="J7" s="191">
        <v>4</v>
      </c>
      <c r="K7" s="195">
        <v>3.7999999999999999E-2</v>
      </c>
      <c r="L7" s="193">
        <f>1/((1+K7)*(1+K7)*(1+K7)*(1+K7))</f>
        <v>0.86141134246212903</v>
      </c>
      <c r="M7" s="194">
        <f>(1+K7)^4/(1+K6)^3-1</f>
        <v>4.7052274805256866E-2</v>
      </c>
      <c r="Q7" s="191"/>
      <c r="R7" s="190" t="s">
        <v>122</v>
      </c>
      <c r="S7" s="242" t="s">
        <v>175</v>
      </c>
      <c r="T7" s="242" t="s">
        <v>176</v>
      </c>
    </row>
    <row r="8" spans="1:21" x14ac:dyDescent="0.25">
      <c r="A8" s="247" t="s">
        <v>164</v>
      </c>
      <c r="B8" s="264">
        <f>E8*L4</f>
        <v>79.999999999999986</v>
      </c>
      <c r="C8" s="264">
        <v>80</v>
      </c>
      <c r="D8" s="264">
        <v>0</v>
      </c>
      <c r="E8" s="264">
        <f>K4*C8+C8</f>
        <v>81.599999999999994</v>
      </c>
      <c r="F8" s="264"/>
      <c r="G8" s="269"/>
      <c r="H8" s="270"/>
      <c r="Q8" s="191">
        <v>1</v>
      </c>
      <c r="R8" s="195">
        <v>0.02</v>
      </c>
      <c r="S8" s="195">
        <f>R8+2%</f>
        <v>0.04</v>
      </c>
      <c r="T8" s="195">
        <f>R8-2%</f>
        <v>0</v>
      </c>
    </row>
    <row r="9" spans="1:21" ht="13.8" thickBot="1" x14ac:dyDescent="0.3">
      <c r="A9" s="266" t="s">
        <v>165</v>
      </c>
      <c r="B9" s="267">
        <f>(E9*L4)+(F9*L5)</f>
        <v>126.28729491608122</v>
      </c>
      <c r="C9" s="267">
        <v>130</v>
      </c>
      <c r="D9" s="267">
        <v>0</v>
      </c>
      <c r="E9" s="267">
        <f>0.015*C9</f>
        <v>1.95</v>
      </c>
      <c r="F9" s="267">
        <f>0.015*C9+C9</f>
        <v>131.94999999999999</v>
      </c>
      <c r="G9" s="271"/>
      <c r="H9" s="272"/>
      <c r="Q9" s="191">
        <v>2</v>
      </c>
      <c r="R9" s="195">
        <v>0.03</v>
      </c>
      <c r="S9" s="195">
        <f t="shared" ref="S9:S11" si="0">R9+2%</f>
        <v>0.05</v>
      </c>
      <c r="T9" s="195">
        <f t="shared" ref="T9:T11" si="1">R9-2%</f>
        <v>9.9999999999999985E-3</v>
      </c>
    </row>
    <row r="10" spans="1:21" ht="13.8" thickBot="1" x14ac:dyDescent="0.3">
      <c r="A10" s="273" t="s">
        <v>115</v>
      </c>
      <c r="B10" s="274">
        <f>B6+B7-B8-B9</f>
        <v>12.756036729574944</v>
      </c>
      <c r="C10" s="275">
        <f>C7+C6-C8-C9</f>
        <v>10</v>
      </c>
      <c r="D10" s="275"/>
      <c r="E10" s="275"/>
      <c r="F10" s="275"/>
      <c r="G10" s="276"/>
      <c r="H10" s="277"/>
      <c r="Q10" s="191">
        <v>3</v>
      </c>
      <c r="R10" s="195">
        <v>3.5000000000000003E-2</v>
      </c>
      <c r="S10" s="195">
        <f t="shared" si="0"/>
        <v>5.5000000000000007E-2</v>
      </c>
      <c r="T10" s="195">
        <f t="shared" si="1"/>
        <v>1.5000000000000003E-2</v>
      </c>
    </row>
    <row r="11" spans="1:21" ht="13.8" thickBot="1" x14ac:dyDescent="0.3">
      <c r="A11" s="278"/>
      <c r="B11" s="279"/>
      <c r="C11" s="280"/>
      <c r="D11" s="280"/>
      <c r="E11" s="280"/>
      <c r="F11" s="280"/>
      <c r="G11" s="281"/>
      <c r="H11" s="281"/>
      <c r="Q11" s="191">
        <v>4</v>
      </c>
      <c r="R11" s="195">
        <v>3.7999999999999999E-2</v>
      </c>
      <c r="S11" s="195">
        <f t="shared" si="0"/>
        <v>5.7999999999999996E-2</v>
      </c>
      <c r="T11" s="195">
        <f t="shared" si="1"/>
        <v>1.7999999999999999E-2</v>
      </c>
    </row>
    <row r="12" spans="1:21" x14ac:dyDescent="0.25">
      <c r="A12" s="246" t="s">
        <v>170</v>
      </c>
      <c r="B12" s="282"/>
      <c r="C12" s="248"/>
      <c r="D12" s="248"/>
      <c r="E12" s="248"/>
      <c r="F12" s="248"/>
      <c r="G12" s="300"/>
      <c r="H12" s="301"/>
    </row>
    <row r="13" spans="1:21" ht="23.4" x14ac:dyDescent="0.25">
      <c r="A13" s="249"/>
      <c r="B13" s="250" t="s">
        <v>116</v>
      </c>
      <c r="C13" s="251" t="s">
        <v>117</v>
      </c>
      <c r="D13" s="302" t="s">
        <v>166</v>
      </c>
      <c r="E13" s="303"/>
      <c r="F13" s="303"/>
      <c r="G13" s="303"/>
      <c r="H13" s="304"/>
    </row>
    <row r="14" spans="1:21" x14ac:dyDescent="0.25">
      <c r="A14" s="249"/>
      <c r="B14" s="252"/>
      <c r="C14" s="253"/>
      <c r="D14" s="254" t="s">
        <v>158</v>
      </c>
      <c r="E14" s="254" t="s">
        <v>118</v>
      </c>
      <c r="F14" s="255" t="s">
        <v>119</v>
      </c>
      <c r="G14" s="255" t="s">
        <v>120</v>
      </c>
      <c r="H14" s="256" t="s">
        <v>121</v>
      </c>
      <c r="Q14" s="191"/>
      <c r="R14" s="191" t="s">
        <v>177</v>
      </c>
      <c r="S14" s="191" t="s">
        <v>145</v>
      </c>
      <c r="T14" s="191" t="s">
        <v>43</v>
      </c>
      <c r="U14" s="191" t="s">
        <v>178</v>
      </c>
    </row>
    <row r="15" spans="1:21" ht="13.8" thickBot="1" x14ac:dyDescent="0.3">
      <c r="A15" s="257"/>
      <c r="B15" s="258"/>
      <c r="C15" s="259"/>
      <c r="D15" s="260" t="s">
        <v>159</v>
      </c>
      <c r="E15" s="261" t="s">
        <v>160</v>
      </c>
      <c r="F15" s="262" t="s">
        <v>161</v>
      </c>
      <c r="G15" s="262" t="s">
        <v>162</v>
      </c>
      <c r="H15" s="263" t="s">
        <v>163</v>
      </c>
      <c r="Q15" s="190" t="s">
        <v>122</v>
      </c>
      <c r="R15" s="195">
        <v>0.02</v>
      </c>
      <c r="S15" s="195">
        <v>0.03</v>
      </c>
      <c r="T15" s="195">
        <v>3.5000000000000003E-2</v>
      </c>
      <c r="U15" s="195">
        <v>3.7999999999999999E-2</v>
      </c>
    </row>
    <row r="16" spans="1:21" x14ac:dyDescent="0.25">
      <c r="A16" s="247" t="s">
        <v>156</v>
      </c>
      <c r="B16" s="264">
        <f>(E16*L4)+(F16*L5)+(G16*L6)+(H16*L7)</f>
        <v>99.043331645656181</v>
      </c>
      <c r="C16" s="264">
        <v>100</v>
      </c>
      <c r="D16" s="264">
        <v>0</v>
      </c>
      <c r="E16" s="264">
        <v>3.5</v>
      </c>
      <c r="F16" s="264">
        <v>3.5</v>
      </c>
      <c r="G16" s="264">
        <v>3.5</v>
      </c>
      <c r="H16" s="265">
        <v>103.5</v>
      </c>
      <c r="Q16" s="242" t="s">
        <v>175</v>
      </c>
      <c r="R16" s="195">
        <f>R15+2%</f>
        <v>0.04</v>
      </c>
      <c r="S16" s="195">
        <f>S15+2%</f>
        <v>0.05</v>
      </c>
      <c r="T16" s="195">
        <f>T15+2%</f>
        <v>5.5000000000000007E-2</v>
      </c>
      <c r="U16" s="195">
        <f>U15+2%</f>
        <v>5.7999999999999996E-2</v>
      </c>
    </row>
    <row r="17" spans="1:21" ht="13.8" thickBot="1" x14ac:dyDescent="0.3">
      <c r="A17" s="266" t="s">
        <v>157</v>
      </c>
      <c r="B17" s="267">
        <f>D17</f>
        <v>120</v>
      </c>
      <c r="C17" s="267">
        <f>D17</f>
        <v>120</v>
      </c>
      <c r="D17" s="267">
        <v>120</v>
      </c>
      <c r="E17" s="267">
        <v>0</v>
      </c>
      <c r="F17" s="267">
        <v>0</v>
      </c>
      <c r="G17" s="267">
        <v>0</v>
      </c>
      <c r="H17" s="268">
        <v>0</v>
      </c>
      <c r="Q17" s="242" t="s">
        <v>176</v>
      </c>
      <c r="R17" s="195">
        <f>R15-2%</f>
        <v>0</v>
      </c>
      <c r="S17" s="195">
        <f>S15-2%</f>
        <v>9.9999999999999985E-3</v>
      </c>
      <c r="T17" s="195">
        <f>T15-2%</f>
        <v>1.5000000000000003E-2</v>
      </c>
      <c r="U17" s="195">
        <f>U15-2%</f>
        <v>1.7999999999999999E-2</v>
      </c>
    </row>
    <row r="18" spans="1:21" x14ac:dyDescent="0.25">
      <c r="A18" s="247" t="s">
        <v>164</v>
      </c>
      <c r="B18" s="264">
        <f>E18*L4+F18*L5+G18*L6+H18*L7</f>
        <v>79.999999999999986</v>
      </c>
      <c r="C18" s="264">
        <v>80</v>
      </c>
      <c r="D18" s="264">
        <v>0</v>
      </c>
      <c r="E18" s="264">
        <f>C18*K4</f>
        <v>1.6</v>
      </c>
      <c r="F18" s="264">
        <f>C18*M5</f>
        <v>3.2078431372548977</v>
      </c>
      <c r="G18" s="269">
        <f>C18*M6</f>
        <v>3.6058346686775167</v>
      </c>
      <c r="H18" s="270">
        <f>C18*(1+M7)</f>
        <v>83.764181984420546</v>
      </c>
    </row>
    <row r="19" spans="1:21" ht="13.8" thickBot="1" x14ac:dyDescent="0.3">
      <c r="A19" s="266" t="s">
        <v>165</v>
      </c>
      <c r="B19" s="267">
        <f>E19*L4+F19*L5+G19*L6+H19*L7</f>
        <v>126.28729491608124</v>
      </c>
      <c r="C19" s="267">
        <v>130</v>
      </c>
      <c r="D19" s="267">
        <v>0</v>
      </c>
      <c r="E19" s="267">
        <f>0.015*C19</f>
        <v>1.95</v>
      </c>
      <c r="F19" s="267">
        <f>0.015*C19</f>
        <v>1.95</v>
      </c>
      <c r="G19" s="283">
        <f>C19*M6</f>
        <v>5.8594813366009646</v>
      </c>
      <c r="H19" s="284">
        <f>C19*M7+C19</f>
        <v>136.11679572468339</v>
      </c>
    </row>
    <row r="20" spans="1:21" ht="13.8" thickBot="1" x14ac:dyDescent="0.3">
      <c r="A20" s="285" t="s">
        <v>115</v>
      </c>
      <c r="B20" s="286">
        <f>B16+B17-B18-B19</f>
        <v>12.75603672957493</v>
      </c>
      <c r="C20" s="287">
        <f>C17+C16-C18-C19</f>
        <v>10</v>
      </c>
      <c r="D20" s="287"/>
      <c r="E20" s="287"/>
      <c r="F20" s="287"/>
      <c r="G20" s="288"/>
      <c r="H20" s="289"/>
    </row>
    <row r="21" spans="1:21" ht="13.8" thickBot="1" x14ac:dyDescent="0.3">
      <c r="A21" s="149"/>
      <c r="B21" s="223"/>
      <c r="C21" s="224"/>
      <c r="D21" s="224"/>
      <c r="E21" s="224"/>
      <c r="F21" s="224"/>
      <c r="G21" s="225"/>
      <c r="H21" s="225"/>
    </row>
    <row r="22" spans="1:21" ht="13.8" thickBot="1" x14ac:dyDescent="0.3">
      <c r="A22" s="150"/>
      <c r="B22" s="148"/>
      <c r="C22" s="148"/>
      <c r="D22" s="139"/>
      <c r="E22" s="139"/>
      <c r="F22" s="139"/>
      <c r="G22" s="139"/>
      <c r="H22" s="139"/>
    </row>
    <row r="23" spans="1:21" ht="13.8" thickBot="1" x14ac:dyDescent="0.3">
      <c r="A23" s="137" t="s">
        <v>167</v>
      </c>
      <c r="B23" s="138"/>
      <c r="C23" s="138"/>
      <c r="D23" s="138"/>
      <c r="E23" s="138"/>
      <c r="F23" s="138"/>
      <c r="G23" s="138"/>
      <c r="H23" s="237"/>
    </row>
    <row r="24" spans="1:21" ht="24" thickBot="1" x14ac:dyDescent="0.3">
      <c r="A24" s="140"/>
      <c r="B24" s="208" t="s">
        <v>116</v>
      </c>
      <c r="C24" s="141" t="s">
        <v>117</v>
      </c>
      <c r="D24" s="295" t="s">
        <v>166</v>
      </c>
      <c r="E24" s="296"/>
      <c r="F24" s="296"/>
      <c r="G24" s="296"/>
      <c r="H24" s="297"/>
      <c r="J24" s="238" t="s">
        <v>125</v>
      </c>
      <c r="K24" s="241">
        <v>0.02</v>
      </c>
      <c r="L24" s="239" t="s">
        <v>174</v>
      </c>
      <c r="M24" s="240"/>
    </row>
    <row r="25" spans="1:21" x14ac:dyDescent="0.25">
      <c r="A25" s="140"/>
      <c r="B25" s="151"/>
      <c r="C25" s="143"/>
      <c r="D25" s="144" t="s">
        <v>158</v>
      </c>
      <c r="E25" s="144" t="s">
        <v>118</v>
      </c>
      <c r="F25" s="145" t="s">
        <v>119</v>
      </c>
      <c r="G25" s="145" t="s">
        <v>120</v>
      </c>
      <c r="H25" s="146" t="s">
        <v>121</v>
      </c>
      <c r="J25" s="139"/>
      <c r="K25" s="139"/>
      <c r="L25" s="139"/>
      <c r="M25" s="139"/>
    </row>
    <row r="26" spans="1:21" ht="13.8" thickBot="1" x14ac:dyDescent="0.3">
      <c r="A26" s="147"/>
      <c r="B26" s="209"/>
      <c r="C26" s="204"/>
      <c r="D26" s="210" t="s">
        <v>159</v>
      </c>
      <c r="E26" s="205" t="s">
        <v>160</v>
      </c>
      <c r="F26" s="206" t="s">
        <v>161</v>
      </c>
      <c r="G26" s="206" t="s">
        <v>162</v>
      </c>
      <c r="H26" s="207" t="s">
        <v>163</v>
      </c>
      <c r="J26" s="152"/>
      <c r="K26" s="190" t="s">
        <v>122</v>
      </c>
      <c r="L26" s="190" t="s">
        <v>123</v>
      </c>
      <c r="M26" s="190" t="s">
        <v>124</v>
      </c>
    </row>
    <row r="27" spans="1:21" x14ac:dyDescent="0.25">
      <c r="A27" s="211" t="s">
        <v>156</v>
      </c>
      <c r="B27" s="212">
        <f>(E27*L27)+(F27*L28)+(G27*L29)+(H27*L30)</f>
        <v>92.123989113357538</v>
      </c>
      <c r="C27" s="212">
        <v>100</v>
      </c>
      <c r="D27" s="212">
        <v>0</v>
      </c>
      <c r="E27" s="212">
        <v>3.5</v>
      </c>
      <c r="F27" s="212">
        <v>3.5</v>
      </c>
      <c r="G27" s="212">
        <v>3.5</v>
      </c>
      <c r="H27" s="221">
        <v>103.5</v>
      </c>
      <c r="J27" s="191">
        <v>1</v>
      </c>
      <c r="K27" s="192">
        <f>K24+K4</f>
        <v>0.04</v>
      </c>
      <c r="L27" s="193">
        <f>1/(1+K27)</f>
        <v>0.96153846153846145</v>
      </c>
      <c r="M27" s="192"/>
    </row>
    <row r="28" spans="1:21" ht="13.8" thickBot="1" x14ac:dyDescent="0.3">
      <c r="A28" s="215" t="s">
        <v>157</v>
      </c>
      <c r="B28" s="216">
        <f>D28</f>
        <v>120</v>
      </c>
      <c r="C28" s="216">
        <v>120</v>
      </c>
      <c r="D28" s="216">
        <v>120</v>
      </c>
      <c r="E28" s="216"/>
      <c r="F28" s="216"/>
      <c r="G28" s="216"/>
      <c r="H28" s="222"/>
      <c r="J28" s="191">
        <v>2</v>
      </c>
      <c r="K28" s="192">
        <f>K5+K24</f>
        <v>0.05</v>
      </c>
      <c r="L28" s="193">
        <f>1/((1+K28)*(1+K28))</f>
        <v>0.90702947845804982</v>
      </c>
      <c r="M28" s="194">
        <f>((1+K28)*(1+K28))/(1+K27)-1</f>
        <v>6.0096153846153744E-2</v>
      </c>
    </row>
    <row r="29" spans="1:21" x14ac:dyDescent="0.25">
      <c r="A29" s="211" t="s">
        <v>164</v>
      </c>
      <c r="B29" s="212">
        <f>E29*L27</f>
        <v>78.461538461538453</v>
      </c>
      <c r="C29" s="212">
        <v>80</v>
      </c>
      <c r="D29" s="212">
        <v>0</v>
      </c>
      <c r="E29" s="212">
        <f>K4*C29+C29</f>
        <v>81.599999999999994</v>
      </c>
      <c r="F29" s="212"/>
      <c r="G29" s="213"/>
      <c r="H29" s="214"/>
      <c r="J29" s="191">
        <v>3</v>
      </c>
      <c r="K29" s="195">
        <f>K6+K24</f>
        <v>5.5000000000000007E-2</v>
      </c>
      <c r="L29" s="193">
        <f>1/((1+K29)*(1+K29)*(1+K29))</f>
        <v>0.85161366418382267</v>
      </c>
      <c r="M29" s="194">
        <f>((1+K29)^3)/((1+K27)*(1+M28))-1</f>
        <v>6.507154195011311E-2</v>
      </c>
    </row>
    <row r="30" spans="1:21" ht="13.8" thickBot="1" x14ac:dyDescent="0.3">
      <c r="A30" s="215" t="s">
        <v>165</v>
      </c>
      <c r="B30" s="216">
        <f>E30*L27+F30*L28</f>
        <v>121.55753968253967</v>
      </c>
      <c r="C30" s="216">
        <v>130</v>
      </c>
      <c r="D30" s="216">
        <v>0</v>
      </c>
      <c r="E30" s="216">
        <f>0.015*C30</f>
        <v>1.95</v>
      </c>
      <c r="F30" s="216">
        <f>0.015*C30+C30</f>
        <v>131.94999999999999</v>
      </c>
      <c r="G30" s="217"/>
      <c r="H30" s="218"/>
      <c r="J30" s="191">
        <v>4</v>
      </c>
      <c r="K30" s="195">
        <f>K7+K24</f>
        <v>5.7999999999999996E-2</v>
      </c>
      <c r="L30" s="193">
        <f>1/((1+K30)*(1+K30)*(1+K30)*(1+K30))</f>
        <v>0.79810003380411942</v>
      </c>
      <c r="M30" s="194">
        <f>(1+K30)^4/(1+K29)^3-1</f>
        <v>6.705128193596499E-2</v>
      </c>
    </row>
    <row r="31" spans="1:21" ht="13.8" thickBot="1" x14ac:dyDescent="0.3">
      <c r="A31" s="226" t="s">
        <v>115</v>
      </c>
      <c r="B31" s="227">
        <f>B27+B28-B29-B30</f>
        <v>12.104910969279416</v>
      </c>
      <c r="C31" s="228">
        <f>C28+C27-C29-C30</f>
        <v>10</v>
      </c>
      <c r="D31" s="228"/>
      <c r="E31" s="228"/>
      <c r="F31" s="228"/>
      <c r="G31" s="229"/>
      <c r="H31" s="230"/>
    </row>
    <row r="32" spans="1:21" ht="13.8" thickBot="1" x14ac:dyDescent="0.3">
      <c r="A32" s="231"/>
      <c r="B32" s="223"/>
      <c r="C32" s="224"/>
      <c r="D32" s="224"/>
      <c r="E32" s="224"/>
      <c r="F32" s="224"/>
      <c r="G32" s="225"/>
      <c r="H32" s="225"/>
    </row>
    <row r="33" spans="1:13" x14ac:dyDescent="0.25">
      <c r="A33" s="137" t="s">
        <v>169</v>
      </c>
      <c r="B33" s="232"/>
      <c r="C33" s="138"/>
      <c r="D33" s="138"/>
      <c r="E33" s="138"/>
      <c r="F33" s="138"/>
      <c r="G33" s="298"/>
      <c r="H33" s="299"/>
    </row>
    <row r="34" spans="1:13" ht="23.4" x14ac:dyDescent="0.25">
      <c r="A34" s="140"/>
      <c r="B34" s="208" t="s">
        <v>116</v>
      </c>
      <c r="C34" s="141" t="s">
        <v>117</v>
      </c>
      <c r="D34" s="295" t="s">
        <v>166</v>
      </c>
      <c r="E34" s="296"/>
      <c r="F34" s="296"/>
      <c r="G34" s="296"/>
      <c r="H34" s="297"/>
    </row>
    <row r="35" spans="1:13" x14ac:dyDescent="0.25">
      <c r="A35" s="140"/>
      <c r="B35" s="151"/>
      <c r="C35" s="143"/>
      <c r="D35" s="144" t="s">
        <v>158</v>
      </c>
      <c r="E35" s="144" t="s">
        <v>118</v>
      </c>
      <c r="F35" s="145" t="s">
        <v>119</v>
      </c>
      <c r="G35" s="145" t="s">
        <v>120</v>
      </c>
      <c r="H35" s="146" t="s">
        <v>121</v>
      </c>
    </row>
    <row r="36" spans="1:13" x14ac:dyDescent="0.25">
      <c r="A36" s="147"/>
      <c r="B36" s="209"/>
      <c r="C36" s="204"/>
      <c r="D36" s="210" t="s">
        <v>159</v>
      </c>
      <c r="E36" s="205" t="s">
        <v>160</v>
      </c>
      <c r="F36" s="206" t="s">
        <v>161</v>
      </c>
      <c r="G36" s="206" t="s">
        <v>162</v>
      </c>
      <c r="H36" s="207" t="s">
        <v>163</v>
      </c>
    </row>
    <row r="37" spans="1:13" x14ac:dyDescent="0.25">
      <c r="A37" s="211" t="s">
        <v>156</v>
      </c>
      <c r="B37" s="212">
        <f>E37*L27+F37*L28+G37*L29+H37*L30</f>
        <v>92.123989113357538</v>
      </c>
      <c r="C37" s="212">
        <v>100</v>
      </c>
      <c r="D37" s="212">
        <v>0</v>
      </c>
      <c r="E37" s="212">
        <v>3.5</v>
      </c>
      <c r="F37" s="212">
        <v>3.5</v>
      </c>
      <c r="G37" s="212">
        <v>3.5</v>
      </c>
      <c r="H37" s="221">
        <v>103.5</v>
      </c>
    </row>
    <row r="38" spans="1:13" ht="13.8" thickBot="1" x14ac:dyDescent="0.3">
      <c r="A38" s="215" t="s">
        <v>157</v>
      </c>
      <c r="B38" s="216">
        <f>D38</f>
        <v>120</v>
      </c>
      <c r="C38" s="216">
        <v>120</v>
      </c>
      <c r="D38" s="216">
        <v>120</v>
      </c>
      <c r="E38" s="216">
        <v>0</v>
      </c>
      <c r="F38" s="216">
        <v>0</v>
      </c>
      <c r="G38" s="216">
        <v>0</v>
      </c>
      <c r="H38" s="222">
        <v>0</v>
      </c>
    </row>
    <row r="39" spans="1:13" x14ac:dyDescent="0.25">
      <c r="A39" s="211" t="s">
        <v>164</v>
      </c>
      <c r="B39" s="212">
        <f>E39*L27+F39*L28+G39*L29+H39*L30</f>
        <v>78.461538461538453</v>
      </c>
      <c r="C39" s="212">
        <v>80</v>
      </c>
      <c r="D39" s="212">
        <v>0</v>
      </c>
      <c r="E39" s="212">
        <f>C39*K4</f>
        <v>1.6</v>
      </c>
      <c r="F39" s="212">
        <f>C39*M28</f>
        <v>4.8076923076922995</v>
      </c>
      <c r="G39" s="213">
        <f>C39*M29</f>
        <v>5.2057233560090488</v>
      </c>
      <c r="H39" s="214">
        <f>C39*M30+C39</f>
        <v>85.364102554877206</v>
      </c>
    </row>
    <row r="40" spans="1:13" ht="13.8" thickBot="1" x14ac:dyDescent="0.3">
      <c r="A40" s="215" t="s">
        <v>165</v>
      </c>
      <c r="B40" s="216">
        <f>E40*L27+F40*L28+G40*L29+H40*L30</f>
        <v>121.55753968253966</v>
      </c>
      <c r="C40" s="216">
        <v>130</v>
      </c>
      <c r="D40" s="216">
        <v>0</v>
      </c>
      <c r="E40" s="216">
        <f>0.015*C40</f>
        <v>1.95</v>
      </c>
      <c r="F40" s="216">
        <f>0.015*C40</f>
        <v>1.95</v>
      </c>
      <c r="G40" s="219">
        <f>C40*M29</f>
        <v>8.4593004535147038</v>
      </c>
      <c r="H40" s="220">
        <f>C40*M30+C40</f>
        <v>138.71666665167544</v>
      </c>
    </row>
    <row r="41" spans="1:13" ht="13.8" thickBot="1" x14ac:dyDescent="0.3">
      <c r="A41" s="149" t="s">
        <v>115</v>
      </c>
      <c r="B41" s="233">
        <f>B37+B38-B39-B40</f>
        <v>12.10491096927943</v>
      </c>
      <c r="C41" s="234">
        <f>C38+C37-C39-C40</f>
        <v>10</v>
      </c>
      <c r="D41" s="234"/>
      <c r="E41" s="234"/>
      <c r="F41" s="234"/>
      <c r="G41" s="235"/>
      <c r="H41" s="236"/>
    </row>
    <row r="43" spans="1:13" ht="13.8" thickBot="1" x14ac:dyDescent="0.3"/>
    <row r="44" spans="1:13" ht="13.8" thickBot="1" x14ac:dyDescent="0.3">
      <c r="A44" s="137" t="s">
        <v>171</v>
      </c>
      <c r="B44" s="138"/>
      <c r="C44" s="138"/>
      <c r="D44" s="138"/>
      <c r="E44" s="138"/>
      <c r="F44" s="138"/>
      <c r="G44" s="138"/>
      <c r="H44" s="237"/>
    </row>
    <row r="45" spans="1:13" ht="24" thickBot="1" x14ac:dyDescent="0.3">
      <c r="A45" s="140"/>
      <c r="B45" s="208" t="s">
        <v>116</v>
      </c>
      <c r="C45" s="141" t="s">
        <v>117</v>
      </c>
      <c r="D45" s="295" t="s">
        <v>166</v>
      </c>
      <c r="E45" s="296"/>
      <c r="F45" s="296"/>
      <c r="G45" s="296"/>
      <c r="H45" s="297"/>
      <c r="J45" s="238" t="s">
        <v>125</v>
      </c>
      <c r="K45" s="241">
        <v>0.02</v>
      </c>
      <c r="L45" s="239" t="s">
        <v>173</v>
      </c>
      <c r="M45" s="240"/>
    </row>
    <row r="46" spans="1:13" x14ac:dyDescent="0.25">
      <c r="A46" s="140"/>
      <c r="B46" s="151"/>
      <c r="C46" s="143"/>
      <c r="D46" s="144" t="s">
        <v>158</v>
      </c>
      <c r="E46" s="144" t="s">
        <v>118</v>
      </c>
      <c r="F46" s="145" t="s">
        <v>119</v>
      </c>
      <c r="G46" s="145" t="s">
        <v>120</v>
      </c>
      <c r="H46" s="146" t="s">
        <v>121</v>
      </c>
      <c r="J46" s="139"/>
      <c r="K46" s="139"/>
      <c r="L46" s="139"/>
      <c r="M46" s="139"/>
    </row>
    <row r="47" spans="1:13" ht="13.8" thickBot="1" x14ac:dyDescent="0.3">
      <c r="A47" s="147"/>
      <c r="B47" s="209"/>
      <c r="C47" s="204"/>
      <c r="D47" s="210" t="s">
        <v>159</v>
      </c>
      <c r="E47" s="205" t="s">
        <v>160</v>
      </c>
      <c r="F47" s="206" t="s">
        <v>161</v>
      </c>
      <c r="G47" s="206" t="s">
        <v>162</v>
      </c>
      <c r="H47" s="207" t="s">
        <v>163</v>
      </c>
      <c r="J47" s="152"/>
      <c r="K47" s="190" t="s">
        <v>122</v>
      </c>
      <c r="L47" s="190" t="s">
        <v>123</v>
      </c>
      <c r="M47" s="190" t="s">
        <v>124</v>
      </c>
    </row>
    <row r="48" spans="1:13" x14ac:dyDescent="0.25">
      <c r="A48" s="211" t="s">
        <v>156</v>
      </c>
      <c r="B48" s="212">
        <f>E48*L48+F48*L49+G48*L50+H48*L51</f>
        <v>106.64978302292396</v>
      </c>
      <c r="C48" s="212">
        <v>100</v>
      </c>
      <c r="D48" s="212">
        <v>0</v>
      </c>
      <c r="E48" s="212">
        <v>3.5</v>
      </c>
      <c r="F48" s="212">
        <v>3.5</v>
      </c>
      <c r="G48" s="212">
        <v>3.5</v>
      </c>
      <c r="H48" s="221">
        <v>103.5</v>
      </c>
      <c r="J48" s="191">
        <v>1</v>
      </c>
      <c r="K48" s="192">
        <f>K4-K45</f>
        <v>0</v>
      </c>
      <c r="L48" s="193">
        <f>1/(1+K48)</f>
        <v>1</v>
      </c>
      <c r="M48" s="192"/>
    </row>
    <row r="49" spans="1:13" ht="13.8" thickBot="1" x14ac:dyDescent="0.3">
      <c r="A49" s="215" t="s">
        <v>157</v>
      </c>
      <c r="B49" s="216">
        <f>D49</f>
        <v>120</v>
      </c>
      <c r="C49" s="216">
        <v>120</v>
      </c>
      <c r="D49" s="216">
        <v>120</v>
      </c>
      <c r="E49" s="216"/>
      <c r="F49" s="216"/>
      <c r="G49" s="216"/>
      <c r="H49" s="222"/>
      <c r="J49" s="191">
        <v>2</v>
      </c>
      <c r="K49" s="192">
        <f>K5-K45</f>
        <v>9.9999999999999985E-3</v>
      </c>
      <c r="L49" s="193">
        <f>1/((1+K49)*(1+K49))</f>
        <v>0.98029604940692083</v>
      </c>
      <c r="M49" s="194">
        <f>((1+K49)*(1+K49))/(1+K48)-1</f>
        <v>2.0100000000000007E-2</v>
      </c>
    </row>
    <row r="50" spans="1:13" x14ac:dyDescent="0.25">
      <c r="A50" s="211" t="s">
        <v>164</v>
      </c>
      <c r="B50" s="212">
        <f>E50*L48</f>
        <v>81.599999999999994</v>
      </c>
      <c r="C50" s="212">
        <v>80</v>
      </c>
      <c r="D50" s="212">
        <v>0</v>
      </c>
      <c r="E50" s="212">
        <f>K4*C50+C50</f>
        <v>81.599999999999994</v>
      </c>
      <c r="F50" s="212"/>
      <c r="G50" s="213"/>
      <c r="H50" s="214"/>
      <c r="J50" s="191">
        <v>3</v>
      </c>
      <c r="K50" s="195">
        <f>K6-K45</f>
        <v>1.5000000000000003E-2</v>
      </c>
      <c r="L50" s="193">
        <f>1/((1+K50)*(1+K50)*(1+K50))</f>
        <v>0.95631699374102519</v>
      </c>
      <c r="M50" s="194">
        <f>((1+K50)^3)/((1+K48)*(1+M49))-1</f>
        <v>2.5074379962748417E-2</v>
      </c>
    </row>
    <row r="51" spans="1:13" ht="13.8" thickBot="1" x14ac:dyDescent="0.3">
      <c r="A51" s="215" t="s">
        <v>165</v>
      </c>
      <c r="B51" s="216">
        <f>E51*L48+F51*L49</f>
        <v>131.30006371924318</v>
      </c>
      <c r="C51" s="216">
        <v>130</v>
      </c>
      <c r="D51" s="216">
        <v>0</v>
      </c>
      <c r="E51" s="216">
        <f>0.015*C51</f>
        <v>1.95</v>
      </c>
      <c r="F51" s="216">
        <f>0.015*C51+C51</f>
        <v>131.94999999999999</v>
      </c>
      <c r="G51" s="217"/>
      <c r="H51" s="218"/>
      <c r="J51" s="191">
        <v>4</v>
      </c>
      <c r="K51" s="195">
        <f>K7-K45</f>
        <v>1.7999999999999999E-2</v>
      </c>
      <c r="L51" s="193">
        <f>1/((1+K51)*(1+K51)*(1+K51)*(1+K51))</f>
        <v>0.93112693112952805</v>
      </c>
      <c r="M51" s="194">
        <f>(1+K51)^4/(1+K50)^3-1</f>
        <v>2.705330687937435E-2</v>
      </c>
    </row>
    <row r="52" spans="1:13" ht="13.8" thickBot="1" x14ac:dyDescent="0.3">
      <c r="A52" s="226" t="s">
        <v>115</v>
      </c>
      <c r="B52" s="227">
        <f>B48+B49-B50-B51</f>
        <v>13.749719303680763</v>
      </c>
      <c r="C52" s="228">
        <f>C49+C48-C50-C51</f>
        <v>10</v>
      </c>
      <c r="D52" s="228">
        <v>0</v>
      </c>
      <c r="E52" s="228"/>
      <c r="F52" s="228"/>
      <c r="G52" s="229"/>
      <c r="H52" s="230"/>
    </row>
    <row r="53" spans="1:13" ht="13.8" thickBot="1" x14ac:dyDescent="0.3">
      <c r="A53" s="231"/>
      <c r="B53" s="223"/>
      <c r="C53" s="224"/>
      <c r="D53" s="224"/>
      <c r="E53" s="224"/>
      <c r="F53" s="224"/>
      <c r="G53" s="225"/>
      <c r="H53" s="225"/>
    </row>
    <row r="54" spans="1:13" x14ac:dyDescent="0.25">
      <c r="A54" s="137" t="s">
        <v>172</v>
      </c>
      <c r="B54" s="232"/>
      <c r="C54" s="138"/>
      <c r="D54" s="138"/>
      <c r="E54" s="138"/>
      <c r="F54" s="138"/>
      <c r="G54" s="298"/>
      <c r="H54" s="299"/>
    </row>
    <row r="55" spans="1:13" ht="23.4" x14ac:dyDescent="0.25">
      <c r="A55" s="140"/>
      <c r="B55" s="208" t="s">
        <v>116</v>
      </c>
      <c r="C55" s="141" t="s">
        <v>117</v>
      </c>
      <c r="D55" s="295" t="s">
        <v>166</v>
      </c>
      <c r="E55" s="296"/>
      <c r="F55" s="296"/>
      <c r="G55" s="296"/>
      <c r="H55" s="297"/>
    </row>
    <row r="56" spans="1:13" x14ac:dyDescent="0.25">
      <c r="A56" s="140"/>
      <c r="B56" s="151"/>
      <c r="C56" s="143"/>
      <c r="D56" s="144" t="s">
        <v>158</v>
      </c>
      <c r="E56" s="144" t="s">
        <v>118</v>
      </c>
      <c r="F56" s="145" t="s">
        <v>119</v>
      </c>
      <c r="G56" s="145" t="s">
        <v>120</v>
      </c>
      <c r="H56" s="146" t="s">
        <v>121</v>
      </c>
    </row>
    <row r="57" spans="1:13" ht="13.8" thickBot="1" x14ac:dyDescent="0.3">
      <c r="A57" s="147"/>
      <c r="B57" s="209"/>
      <c r="C57" s="204"/>
      <c r="D57" s="210" t="s">
        <v>159</v>
      </c>
      <c r="E57" s="205" t="s">
        <v>160</v>
      </c>
      <c r="F57" s="206" t="s">
        <v>161</v>
      </c>
      <c r="G57" s="206" t="s">
        <v>162</v>
      </c>
      <c r="H57" s="207" t="s">
        <v>163</v>
      </c>
    </row>
    <row r="58" spans="1:13" x14ac:dyDescent="0.25">
      <c r="A58" s="211" t="s">
        <v>156</v>
      </c>
      <c r="B58" s="212">
        <f>E58*L48+F58*L49+G58*L50+H58*L51</f>
        <v>106.64978302292396</v>
      </c>
      <c r="C58" s="212">
        <v>100</v>
      </c>
      <c r="D58" s="212">
        <v>0</v>
      </c>
      <c r="E58" s="212">
        <v>3.5</v>
      </c>
      <c r="F58" s="212">
        <v>3.5</v>
      </c>
      <c r="G58" s="212">
        <v>3.5</v>
      </c>
      <c r="H58" s="221">
        <v>103.5</v>
      </c>
    </row>
    <row r="59" spans="1:13" ht="13.8" thickBot="1" x14ac:dyDescent="0.3">
      <c r="A59" s="215" t="s">
        <v>157</v>
      </c>
      <c r="B59" s="216">
        <f>D59</f>
        <v>120</v>
      </c>
      <c r="C59" s="216">
        <v>120</v>
      </c>
      <c r="D59" s="216">
        <v>120</v>
      </c>
      <c r="E59" s="216">
        <v>0</v>
      </c>
      <c r="F59" s="216">
        <v>0</v>
      </c>
      <c r="G59" s="216">
        <v>0</v>
      </c>
      <c r="H59" s="222">
        <v>0</v>
      </c>
    </row>
    <row r="60" spans="1:13" x14ac:dyDescent="0.25">
      <c r="A60" s="211" t="s">
        <v>164</v>
      </c>
      <c r="B60" s="212">
        <f>E60*L48+F60*L49+G60*L50+H60*L51</f>
        <v>81.599999999999994</v>
      </c>
      <c r="C60" s="212">
        <v>80</v>
      </c>
      <c r="D60" s="212">
        <v>0</v>
      </c>
      <c r="E60" s="212">
        <f>C60*K4</f>
        <v>1.6</v>
      </c>
      <c r="F60" s="212">
        <f>C60*M49</f>
        <v>1.6080000000000005</v>
      </c>
      <c r="G60" s="213">
        <f>C60*M50</f>
        <v>2.0059503970198733</v>
      </c>
      <c r="H60" s="214">
        <f>C60*M51+C60</f>
        <v>82.164264550349941</v>
      </c>
    </row>
    <row r="61" spans="1:13" ht="13.8" thickBot="1" x14ac:dyDescent="0.3">
      <c r="A61" s="215" t="s">
        <v>165</v>
      </c>
      <c r="B61" s="216">
        <f>E61*L48+F61*L49+G61*L50+H61*L51</f>
        <v>131.30006371924324</v>
      </c>
      <c r="C61" s="216">
        <v>130</v>
      </c>
      <c r="D61" s="216">
        <v>0</v>
      </c>
      <c r="E61" s="216">
        <f>0.015*C61</f>
        <v>1.95</v>
      </c>
      <c r="F61" s="216">
        <f>0.015*C61</f>
        <v>1.95</v>
      </c>
      <c r="G61" s="219">
        <f>C61*M50</f>
        <v>3.2596693951572941</v>
      </c>
      <c r="H61" s="220">
        <f>C61*M51+C61</f>
        <v>133.51692989431868</v>
      </c>
    </row>
    <row r="62" spans="1:13" ht="13.8" thickBot="1" x14ac:dyDescent="0.3">
      <c r="A62" s="149" t="s">
        <v>115</v>
      </c>
      <c r="B62" s="233">
        <f>B58+B59-B60-B61</f>
        <v>13.749719303680706</v>
      </c>
      <c r="C62" s="234">
        <f>C59+C58-C60-C61</f>
        <v>10</v>
      </c>
      <c r="D62" s="234">
        <v>0</v>
      </c>
      <c r="E62" s="234"/>
      <c r="F62" s="234"/>
      <c r="G62" s="235"/>
      <c r="H62" s="236"/>
    </row>
  </sheetData>
  <mergeCells count="10">
    <mergeCell ref="G2:H2"/>
    <mergeCell ref="G12:H12"/>
    <mergeCell ref="D13:H13"/>
    <mergeCell ref="D3:H3"/>
    <mergeCell ref="D34:H34"/>
    <mergeCell ref="D55:H55"/>
    <mergeCell ref="D45:H45"/>
    <mergeCell ref="G54:H54"/>
    <mergeCell ref="G33:H33"/>
    <mergeCell ref="D24:H2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2"/>
  <sheetViews>
    <sheetView zoomScaleNormal="100" workbookViewId="0">
      <selection activeCell="C9" sqref="C9"/>
    </sheetView>
  </sheetViews>
  <sheetFormatPr defaultColWidth="9.21875" defaultRowHeight="13.2" x14ac:dyDescent="0.25"/>
  <cols>
    <col min="1" max="1" width="1.21875" style="78" customWidth="1"/>
    <col min="2" max="2" width="9.21875" style="78"/>
    <col min="3" max="3" width="8.21875" style="78" customWidth="1"/>
    <col min="4" max="4" width="10.5546875" style="78" customWidth="1"/>
    <col min="5" max="5" width="10.21875" style="78" customWidth="1"/>
    <col min="6" max="6" width="9.5546875" style="78" bestFit="1" customWidth="1"/>
    <col min="7" max="7" width="13.44140625" style="78" bestFit="1" customWidth="1"/>
    <col min="8" max="8" width="3.77734375" style="78" customWidth="1"/>
    <col min="9" max="16384" width="9.21875" style="78"/>
  </cols>
  <sheetData>
    <row r="1" spans="1:8" x14ac:dyDescent="0.25">
      <c r="A1" s="77"/>
      <c r="B1" s="77" t="s">
        <v>96</v>
      </c>
      <c r="C1" s="77" t="s">
        <v>60</v>
      </c>
      <c r="D1" s="77"/>
      <c r="E1" s="77"/>
      <c r="F1" s="77"/>
      <c r="G1" s="77"/>
      <c r="H1" s="77"/>
    </row>
    <row r="2" spans="1:8" x14ac:dyDescent="0.25">
      <c r="A2" s="77"/>
      <c r="B2" s="77" t="s">
        <v>61</v>
      </c>
      <c r="C2" s="77"/>
      <c r="D2" s="77"/>
      <c r="E2" s="77"/>
      <c r="F2" s="77"/>
      <c r="G2" s="77"/>
      <c r="H2" s="77"/>
    </row>
    <row r="3" spans="1:8" x14ac:dyDescent="0.25">
      <c r="A3" s="77"/>
      <c r="B3" s="77" t="s">
        <v>62</v>
      </c>
      <c r="C3" s="77" t="s">
        <v>95</v>
      </c>
      <c r="D3" s="77"/>
      <c r="E3" s="77"/>
      <c r="F3" s="77"/>
      <c r="G3" s="77"/>
      <c r="H3" s="77"/>
    </row>
    <row r="4" spans="1:8" x14ac:dyDescent="0.25">
      <c r="A4" s="77"/>
      <c r="B4" s="77" t="s">
        <v>63</v>
      </c>
      <c r="C4" s="77" t="s">
        <v>64</v>
      </c>
      <c r="D4" s="77"/>
      <c r="E4" s="77"/>
      <c r="F4" s="77"/>
      <c r="G4" s="77"/>
      <c r="H4" s="77"/>
    </row>
    <row r="5" spans="1:8" x14ac:dyDescent="0.25">
      <c r="A5" s="77"/>
      <c r="B5" s="77" t="s">
        <v>13</v>
      </c>
      <c r="C5" s="77" t="s">
        <v>90</v>
      </c>
      <c r="D5" s="77"/>
      <c r="E5" s="77"/>
      <c r="F5" s="77"/>
      <c r="G5" s="77"/>
      <c r="H5" s="77"/>
    </row>
    <row r="6" spans="1:8" x14ac:dyDescent="0.25">
      <c r="B6" s="79" t="s">
        <v>65</v>
      </c>
      <c r="D6" s="80"/>
      <c r="E6" s="80"/>
      <c r="F6" s="80"/>
    </row>
    <row r="7" spans="1:8" x14ac:dyDescent="0.25">
      <c r="B7" s="81"/>
      <c r="C7" s="81"/>
      <c r="D7" s="82">
        <v>0.06</v>
      </c>
      <c r="E7" s="81"/>
      <c r="F7" s="81"/>
    </row>
    <row r="8" spans="1:8" x14ac:dyDescent="0.25">
      <c r="B8" s="81">
        <v>1</v>
      </c>
      <c r="C8" s="83">
        <f>G8*C10</f>
        <v>500</v>
      </c>
      <c r="D8" s="81">
        <f>(1+D$7)^B8</f>
        <v>1.06</v>
      </c>
      <c r="E8" s="83">
        <f>C8/D8</f>
        <v>471.69811320754712</v>
      </c>
      <c r="F8" s="111">
        <f>E8*B8/E$11</f>
        <v>9.2222331658951384E-2</v>
      </c>
      <c r="G8" s="84">
        <v>0.1</v>
      </c>
    </row>
    <row r="9" spans="1:8" x14ac:dyDescent="0.25">
      <c r="B9" s="81">
        <v>2</v>
      </c>
      <c r="C9" s="83">
        <f>G8*C10</f>
        <v>500</v>
      </c>
      <c r="D9" s="81">
        <f>(1+D$7)^B9</f>
        <v>1.1236000000000002</v>
      </c>
      <c r="E9" s="83">
        <f>C9/D9</f>
        <v>444.99822000711993</v>
      </c>
      <c r="F9" s="111">
        <f>E9*B9/E$11</f>
        <v>0.17400439935651205</v>
      </c>
      <c r="G9" s="102">
        <v>5000</v>
      </c>
    </row>
    <row r="10" spans="1:8" x14ac:dyDescent="0.25">
      <c r="B10" s="81">
        <v>3</v>
      </c>
      <c r="C10" s="83">
        <f>G9</f>
        <v>5000</v>
      </c>
      <c r="D10" s="81">
        <f>(1+D$7)^B10</f>
        <v>1.1910160000000003</v>
      </c>
      <c r="E10" s="83">
        <f>C10/D10</f>
        <v>4198.096415161508</v>
      </c>
      <c r="F10" s="111">
        <f>E10*B10/E$11</f>
        <v>2.4623264059883776</v>
      </c>
    </row>
    <row r="11" spans="1:8" x14ac:dyDescent="0.25">
      <c r="B11" s="81"/>
      <c r="C11" s="81"/>
      <c r="D11" s="81"/>
      <c r="E11" s="85">
        <f>SUM(E8:E10)</f>
        <v>5114.792748376175</v>
      </c>
      <c r="F11" s="112">
        <f>SUM(F8:F10)</f>
        <v>2.7285531370038409</v>
      </c>
    </row>
    <row r="12" spans="1:8" x14ac:dyDescent="0.25">
      <c r="B12" s="81"/>
      <c r="C12" s="81"/>
      <c r="D12" s="81"/>
      <c r="E12" s="86" t="s">
        <v>11</v>
      </c>
      <c r="F12" s="87" t="s">
        <v>66</v>
      </c>
    </row>
    <row r="13" spans="1:8" s="80" customFormat="1" x14ac:dyDescent="0.25">
      <c r="B13" s="72" t="s">
        <v>67</v>
      </c>
    </row>
    <row r="14" spans="1:8" x14ac:dyDescent="0.25">
      <c r="B14" s="88"/>
      <c r="C14" s="88"/>
      <c r="D14" s="89">
        <v>0.06</v>
      </c>
      <c r="E14" s="88"/>
      <c r="F14" s="88"/>
    </row>
    <row r="15" spans="1:8" x14ac:dyDescent="0.25">
      <c r="B15" s="88">
        <v>2</v>
      </c>
      <c r="C15" s="90">
        <v>1000</v>
      </c>
      <c r="D15" s="88">
        <f>(1+D14)^B15</f>
        <v>1.1236000000000002</v>
      </c>
      <c r="E15" s="90">
        <f>C15/D15</f>
        <v>889.99644001423985</v>
      </c>
      <c r="F15" s="113">
        <f>B15*E15/E17</f>
        <v>1.7857142857142856</v>
      </c>
    </row>
    <row r="16" spans="1:8" x14ac:dyDescent="0.25">
      <c r="B16" s="88">
        <v>2</v>
      </c>
      <c r="C16" s="90">
        <f>D14*C15*2</f>
        <v>120</v>
      </c>
      <c r="D16" s="88">
        <f>D15</f>
        <v>1.1236000000000002</v>
      </c>
      <c r="E16" s="90">
        <f>C16/D16</f>
        <v>106.79957280170878</v>
      </c>
      <c r="F16" s="113">
        <f>B16*E16/E17</f>
        <v>0.21428571428571427</v>
      </c>
    </row>
    <row r="17" spans="1:12" x14ac:dyDescent="0.25">
      <c r="B17" s="88"/>
      <c r="C17" s="88"/>
      <c r="D17" s="88"/>
      <c r="E17" s="91">
        <f>E15+E16</f>
        <v>996.79601281594864</v>
      </c>
      <c r="F17" s="114">
        <f>F15+F16</f>
        <v>1.9999999999999998</v>
      </c>
    </row>
    <row r="18" spans="1:12" x14ac:dyDescent="0.25">
      <c r="B18" s="88"/>
      <c r="C18" s="88"/>
      <c r="D18" s="88"/>
      <c r="E18" s="92" t="s">
        <v>11</v>
      </c>
      <c r="F18" s="93" t="s">
        <v>66</v>
      </c>
    </row>
    <row r="19" spans="1:12" x14ac:dyDescent="0.25">
      <c r="B19" s="80"/>
      <c r="C19" s="80"/>
      <c r="D19" s="80"/>
      <c r="E19" s="80"/>
      <c r="F19" s="80"/>
    </row>
    <row r="20" spans="1:12" hidden="1" x14ac:dyDescent="0.25">
      <c r="K20" s="78" t="s">
        <v>71</v>
      </c>
      <c r="L20" s="78">
        <v>10000</v>
      </c>
    </row>
    <row r="21" spans="1:12" hidden="1" x14ac:dyDescent="0.25">
      <c r="A21" s="97" t="s">
        <v>72</v>
      </c>
      <c r="K21" s="78" t="s">
        <v>73</v>
      </c>
      <c r="L21" s="78">
        <v>173</v>
      </c>
    </row>
    <row r="22" spans="1:12" hidden="1" x14ac:dyDescent="0.25">
      <c r="A22" s="97" t="s">
        <v>74</v>
      </c>
      <c r="K22" s="78" t="s">
        <v>75</v>
      </c>
      <c r="L22" s="84">
        <v>0.05</v>
      </c>
    </row>
    <row r="23" spans="1:12" hidden="1" x14ac:dyDescent="0.25">
      <c r="B23" s="79" t="s">
        <v>76</v>
      </c>
    </row>
    <row r="24" spans="1:12" hidden="1" x14ac:dyDescent="0.25">
      <c r="B24" s="81"/>
      <c r="C24" s="81"/>
      <c r="D24" s="82">
        <v>0.1</v>
      </c>
      <c r="E24" s="81"/>
      <c r="F24" s="81"/>
      <c r="G24" s="78" t="s">
        <v>77</v>
      </c>
      <c r="I24" s="98">
        <f>F28</f>
        <v>2.7355371900826437</v>
      </c>
      <c r="K24" s="78" t="s">
        <v>78</v>
      </c>
      <c r="L24" s="78">
        <f>E28</f>
        <v>6999.9999999999982</v>
      </c>
    </row>
    <row r="25" spans="1:12" ht="13.8" hidden="1" thickBot="1" x14ac:dyDescent="0.3">
      <c r="B25" s="81">
        <v>1</v>
      </c>
      <c r="C25" s="81">
        <v>700</v>
      </c>
      <c r="D25" s="81">
        <f>(1+$D$24)^B25</f>
        <v>1.1000000000000001</v>
      </c>
      <c r="E25" s="81">
        <f>C25/D25</f>
        <v>636.36363636363626</v>
      </c>
      <c r="F25" s="81">
        <f>E25*B25/$E$28</f>
        <v>9.0909090909090912E-2</v>
      </c>
      <c r="G25" s="78" t="s">
        <v>79</v>
      </c>
      <c r="I25" s="98">
        <f>173/365</f>
        <v>0.47397260273972602</v>
      </c>
      <c r="J25" s="78" t="s">
        <v>80</v>
      </c>
      <c r="K25" s="78" t="s">
        <v>81</v>
      </c>
      <c r="L25" s="78">
        <f>(L20/(1+L22*L21/360))</f>
        <v>9765.3600976536018</v>
      </c>
    </row>
    <row r="26" spans="1:12" ht="13.8" hidden="1" thickBot="1" x14ac:dyDescent="0.3">
      <c r="B26" s="81">
        <v>2</v>
      </c>
      <c r="C26" s="81">
        <v>700</v>
      </c>
      <c r="D26" s="81">
        <f>(1+$D$24)^B26</f>
        <v>1.2100000000000002</v>
      </c>
      <c r="E26" s="81">
        <f>C26/D26</f>
        <v>578.51239669421477</v>
      </c>
      <c r="F26" s="81">
        <f>E26*B26/$E$28</f>
        <v>0.16528925619834711</v>
      </c>
      <c r="G26" s="99" t="s">
        <v>82</v>
      </c>
      <c r="H26" s="100"/>
      <c r="I26" s="101">
        <f>(I24*L24+I25*L25)/(L24+L25)</f>
        <v>1.4182381609615291</v>
      </c>
    </row>
    <row r="27" spans="1:12" hidden="1" x14ac:dyDescent="0.25">
      <c r="B27" s="81">
        <v>3</v>
      </c>
      <c r="C27" s="81">
        <v>7700</v>
      </c>
      <c r="D27" s="81">
        <f>(1+$D$24)^B27</f>
        <v>1.3310000000000004</v>
      </c>
      <c r="E27" s="81">
        <f>C27/D27</f>
        <v>5785.1239669421466</v>
      </c>
      <c r="F27" s="81">
        <f>E27*B27/$E$28</f>
        <v>2.4793388429752059</v>
      </c>
    </row>
    <row r="28" spans="1:12" hidden="1" x14ac:dyDescent="0.25">
      <c r="B28" s="81"/>
      <c r="C28" s="81"/>
      <c r="D28" s="81"/>
      <c r="E28" s="81">
        <f>SUM(E25:E27)</f>
        <v>6999.9999999999982</v>
      </c>
      <c r="F28" s="81">
        <f>SUM(F25:F27)</f>
        <v>2.7355371900826437</v>
      </c>
    </row>
    <row r="29" spans="1:12" hidden="1" x14ac:dyDescent="0.25"/>
    <row r="30" spans="1:12" hidden="1" x14ac:dyDescent="0.25"/>
    <row r="31" spans="1:12" x14ac:dyDescent="0.25">
      <c r="B31" s="103" t="s">
        <v>84</v>
      </c>
      <c r="C31" s="104"/>
      <c r="D31" s="104"/>
      <c r="E31" s="104"/>
      <c r="F31" s="104"/>
    </row>
    <row r="32" spans="1:12" x14ac:dyDescent="0.25">
      <c r="B32" s="45" t="s">
        <v>85</v>
      </c>
      <c r="C32" s="45">
        <v>1000</v>
      </c>
      <c r="D32" s="104"/>
      <c r="E32" s="104"/>
      <c r="F32" s="104"/>
    </row>
    <row r="33" spans="2:6" x14ac:dyDescent="0.25">
      <c r="B33" s="45" t="s">
        <v>11</v>
      </c>
      <c r="C33" s="45">
        <f>C32/(1+C34/C35*C36)</f>
        <v>970.87378640776694</v>
      </c>
      <c r="D33" s="104"/>
      <c r="E33" s="105"/>
      <c r="F33" s="104"/>
    </row>
    <row r="34" spans="2:6" x14ac:dyDescent="0.25">
      <c r="B34" s="45" t="s">
        <v>86</v>
      </c>
      <c r="C34" s="45">
        <v>180</v>
      </c>
      <c r="D34" s="104"/>
      <c r="E34" s="104"/>
      <c r="F34" s="104"/>
    </row>
    <row r="35" spans="2:6" x14ac:dyDescent="0.25">
      <c r="B35" s="45" t="s">
        <v>88</v>
      </c>
      <c r="C35" s="45">
        <v>360</v>
      </c>
      <c r="D35" s="104"/>
      <c r="E35" s="104"/>
      <c r="F35" s="104"/>
    </row>
    <row r="36" spans="2:6" x14ac:dyDescent="0.25">
      <c r="B36" s="45" t="s">
        <v>89</v>
      </c>
      <c r="C36" s="106">
        <v>0.06</v>
      </c>
      <c r="D36" s="104"/>
      <c r="E36" s="107">
        <f>C33</f>
        <v>970.87378640776694</v>
      </c>
      <c r="F36" s="115">
        <f>C34/C35</f>
        <v>0.5</v>
      </c>
    </row>
    <row r="37" spans="2:6" x14ac:dyDescent="0.25">
      <c r="B37" s="104"/>
      <c r="C37" s="104"/>
      <c r="D37" s="104"/>
      <c r="E37" s="108" t="s">
        <v>11</v>
      </c>
      <c r="F37" s="109" t="s">
        <v>87</v>
      </c>
    </row>
    <row r="39" spans="2:6" x14ac:dyDescent="0.25">
      <c r="B39" s="78" t="s">
        <v>68</v>
      </c>
      <c r="D39" s="98">
        <f>F17</f>
        <v>1.9999999999999998</v>
      </c>
    </row>
    <row r="40" spans="2:6" x14ac:dyDescent="0.25">
      <c r="B40" s="78" t="s">
        <v>69</v>
      </c>
      <c r="D40" s="98">
        <f>F11</f>
        <v>2.7285531370038409</v>
      </c>
    </row>
    <row r="41" spans="2:6" ht="13.8" thickBot="1" x14ac:dyDescent="0.3">
      <c r="B41" s="78" t="s">
        <v>83</v>
      </c>
      <c r="D41" s="98">
        <f>F36</f>
        <v>0.5</v>
      </c>
    </row>
    <row r="42" spans="2:6" ht="13.8" thickBot="1" x14ac:dyDescent="0.3">
      <c r="B42" s="94" t="s">
        <v>70</v>
      </c>
      <c r="C42" s="95"/>
      <c r="D42" s="96">
        <f>(E11*F11+E17*F17+D41*C33)/(E11+E17+C33)</f>
        <v>2.3205223616906521</v>
      </c>
    </row>
  </sheetData>
  <phoneticPr fontId="29" type="noConversion"/>
  <pageMargins left="0.75" right="0.75" top="1" bottom="1" header="0.4921259845" footer="0.4921259845"/>
  <pageSetup paperSize="9" scale="6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2:E31"/>
  <sheetViews>
    <sheetView workbookViewId="0">
      <selection activeCell="E9" sqref="E9"/>
    </sheetView>
  </sheetViews>
  <sheetFormatPr defaultRowHeight="13.2" x14ac:dyDescent="0.25"/>
  <cols>
    <col min="1" max="1" width="9.21875" customWidth="1"/>
    <col min="2" max="3" width="3.21875" bestFit="1" customWidth="1"/>
    <col min="4" max="4" width="16.77734375" bestFit="1" customWidth="1"/>
  </cols>
  <sheetData>
    <row r="2" spans="3:5" x14ac:dyDescent="0.25">
      <c r="C2" t="s">
        <v>98</v>
      </c>
      <c r="D2" s="110" t="s">
        <v>97</v>
      </c>
      <c r="E2" s="110">
        <f>SUM(E3:E7)</f>
        <v>12</v>
      </c>
    </row>
    <row r="3" spans="3:5" x14ac:dyDescent="0.25">
      <c r="D3" s="76" t="s">
        <v>5</v>
      </c>
      <c r="E3">
        <v>2</v>
      </c>
    </row>
    <row r="4" spans="3:5" x14ac:dyDescent="0.25">
      <c r="D4" s="76" t="s">
        <v>7</v>
      </c>
      <c r="E4">
        <v>3</v>
      </c>
    </row>
    <row r="5" spans="3:5" x14ac:dyDescent="0.25">
      <c r="D5" s="76" t="s">
        <v>13</v>
      </c>
      <c r="E5">
        <v>5</v>
      </c>
    </row>
    <row r="6" spans="3:5" x14ac:dyDescent="0.25">
      <c r="D6" s="76" t="s">
        <v>16</v>
      </c>
      <c r="E6">
        <v>1</v>
      </c>
    </row>
    <row r="7" spans="3:5" x14ac:dyDescent="0.25">
      <c r="D7" s="76" t="s">
        <v>25</v>
      </c>
      <c r="E7">
        <v>1</v>
      </c>
    </row>
    <row r="8" spans="3:5" x14ac:dyDescent="0.25">
      <c r="C8" t="s">
        <v>99</v>
      </c>
      <c r="D8" s="110" t="s">
        <v>105</v>
      </c>
      <c r="E8" s="110">
        <f>E9+E10+E11</f>
        <v>6</v>
      </c>
    </row>
    <row r="9" spans="3:5" x14ac:dyDescent="0.25">
      <c r="D9" s="76" t="s">
        <v>5</v>
      </c>
      <c r="E9">
        <v>3</v>
      </c>
    </row>
    <row r="10" spans="3:5" x14ac:dyDescent="0.25">
      <c r="D10" s="76" t="s">
        <v>7</v>
      </c>
      <c r="E10">
        <v>2</v>
      </c>
    </row>
    <row r="11" spans="3:5" x14ac:dyDescent="0.25">
      <c r="D11" s="76" t="s">
        <v>13</v>
      </c>
      <c r="E11">
        <v>1</v>
      </c>
    </row>
    <row r="12" spans="3:5" x14ac:dyDescent="0.25">
      <c r="C12" t="s">
        <v>100</v>
      </c>
      <c r="D12" s="110" t="s">
        <v>94</v>
      </c>
      <c r="E12" s="110">
        <f>E13+E14+E15</f>
        <v>8</v>
      </c>
    </row>
    <row r="13" spans="3:5" x14ac:dyDescent="0.25">
      <c r="D13" s="76" t="s">
        <v>5</v>
      </c>
      <c r="E13">
        <v>5</v>
      </c>
    </row>
    <row r="14" spans="3:5" x14ac:dyDescent="0.25">
      <c r="D14" s="76" t="s">
        <v>7</v>
      </c>
      <c r="E14">
        <v>1</v>
      </c>
    </row>
    <row r="15" spans="3:5" x14ac:dyDescent="0.25">
      <c r="D15" s="76" t="s">
        <v>13</v>
      </c>
      <c r="E15">
        <v>2</v>
      </c>
    </row>
    <row r="16" spans="3:5" x14ac:dyDescent="0.25">
      <c r="C16" t="s">
        <v>101</v>
      </c>
      <c r="D16" s="110" t="s">
        <v>91</v>
      </c>
      <c r="E16" s="110">
        <f>E17+E18+E19+E20</f>
        <v>14</v>
      </c>
    </row>
    <row r="17" spans="3:5" x14ac:dyDescent="0.25">
      <c r="D17" s="76" t="s">
        <v>5</v>
      </c>
      <c r="E17">
        <v>4</v>
      </c>
    </row>
    <row r="18" spans="3:5" x14ac:dyDescent="0.25">
      <c r="D18" s="76" t="s">
        <v>7</v>
      </c>
      <c r="E18">
        <v>4</v>
      </c>
    </row>
    <row r="19" spans="3:5" x14ac:dyDescent="0.25">
      <c r="D19" s="76" t="s">
        <v>13</v>
      </c>
      <c r="E19">
        <v>3</v>
      </c>
    </row>
    <row r="20" spans="3:5" x14ac:dyDescent="0.25">
      <c r="D20" s="76" t="s">
        <v>16</v>
      </c>
      <c r="E20">
        <v>3</v>
      </c>
    </row>
    <row r="21" spans="3:5" x14ac:dyDescent="0.25">
      <c r="C21" t="s">
        <v>102</v>
      </c>
      <c r="D21" s="110" t="s">
        <v>93</v>
      </c>
      <c r="E21" s="110">
        <f>E22+E23+E24</f>
        <v>8</v>
      </c>
    </row>
    <row r="22" spans="3:5" x14ac:dyDescent="0.25">
      <c r="D22" s="76" t="s">
        <v>5</v>
      </c>
      <c r="E22">
        <v>3</v>
      </c>
    </row>
    <row r="23" spans="3:5" x14ac:dyDescent="0.25">
      <c r="D23" s="76" t="s">
        <v>7</v>
      </c>
      <c r="E23">
        <v>2</v>
      </c>
    </row>
    <row r="24" spans="3:5" x14ac:dyDescent="0.25">
      <c r="D24" s="76" t="s">
        <v>13</v>
      </c>
      <c r="E24">
        <v>3</v>
      </c>
    </row>
    <row r="25" spans="3:5" x14ac:dyDescent="0.25">
      <c r="C25" t="s">
        <v>103</v>
      </c>
      <c r="D25" s="110" t="s">
        <v>104</v>
      </c>
      <c r="E25" s="110">
        <f>E26+E27+E28+E29</f>
        <v>12</v>
      </c>
    </row>
    <row r="26" spans="3:5" x14ac:dyDescent="0.25">
      <c r="D26" s="76" t="s">
        <v>5</v>
      </c>
      <c r="E26">
        <v>3</v>
      </c>
    </row>
    <row r="27" spans="3:5" x14ac:dyDescent="0.25">
      <c r="D27" s="76" t="s">
        <v>7</v>
      </c>
      <c r="E27">
        <v>3</v>
      </c>
    </row>
    <row r="28" spans="3:5" x14ac:dyDescent="0.25">
      <c r="D28" s="76" t="s">
        <v>13</v>
      </c>
      <c r="E28">
        <v>3</v>
      </c>
    </row>
    <row r="29" spans="3:5" x14ac:dyDescent="0.25">
      <c r="D29" s="76" t="s">
        <v>16</v>
      </c>
      <c r="E29">
        <v>3</v>
      </c>
    </row>
    <row r="31" spans="3:5" x14ac:dyDescent="0.25">
      <c r="D31" s="110" t="s">
        <v>92</v>
      </c>
      <c r="E31" s="110">
        <f>E2+E8+E12+E16+E21+E25</f>
        <v>60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U5"/>
  <sheetViews>
    <sheetView workbookViewId="0"/>
  </sheetViews>
  <sheetFormatPr defaultRowHeight="13.2" x14ac:dyDescent="0.25"/>
  <sheetData>
    <row r="1" spans="1:255" x14ac:dyDescent="0.2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</row>
    <row r="2" spans="1:255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  <c r="IR2" s="116"/>
      <c r="IS2" s="116"/>
      <c r="IT2" s="116"/>
      <c r="IU2" s="116"/>
    </row>
    <row r="3" spans="1:255" x14ac:dyDescent="0.2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  <c r="IU3" s="116"/>
    </row>
    <row r="4" spans="1:255" x14ac:dyDescent="0.2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  <c r="IU4" s="116"/>
    </row>
    <row r="5" spans="1:255" x14ac:dyDescent="0.2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  <c r="IU5" s="116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32"/>
  <sheetViews>
    <sheetView zoomScaleNormal="100" workbookViewId="0">
      <selection activeCell="B23" sqref="B23"/>
    </sheetView>
  </sheetViews>
  <sheetFormatPr defaultRowHeight="13.2" x14ac:dyDescent="0.25"/>
  <cols>
    <col min="12" max="12" width="14.21875" customWidth="1"/>
  </cols>
  <sheetData>
    <row r="3" spans="1:14" ht="15" x14ac:dyDescent="0.25">
      <c r="A3" s="1"/>
    </row>
    <row r="4" spans="1:14" s="3" customFormat="1" ht="13.8" x14ac:dyDescent="0.25">
      <c r="A4" s="2"/>
      <c r="L4" s="48" t="s">
        <v>30</v>
      </c>
      <c r="M4" s="48">
        <v>6.5</v>
      </c>
      <c r="N4" s="48"/>
    </row>
    <row r="5" spans="1:14" s="3" customFormat="1" ht="13.8" x14ac:dyDescent="0.25">
      <c r="A5" s="2"/>
      <c r="L5" s="48" t="s">
        <v>31</v>
      </c>
      <c r="M5" s="48">
        <v>185</v>
      </c>
      <c r="N5" s="48"/>
    </row>
    <row r="6" spans="1:14" s="3" customFormat="1" ht="13.8" x14ac:dyDescent="0.25">
      <c r="A6" s="4"/>
      <c r="B6" s="5"/>
      <c r="C6" s="5"/>
      <c r="L6" s="48" t="s">
        <v>32</v>
      </c>
      <c r="M6" s="48">
        <v>96</v>
      </c>
      <c r="N6" s="48"/>
    </row>
    <row r="7" spans="1:14" s="3" customFormat="1" ht="13.8" x14ac:dyDescent="0.25">
      <c r="A7" s="6"/>
      <c r="L7" s="48"/>
      <c r="M7" s="48"/>
      <c r="N7" s="48"/>
    </row>
    <row r="8" spans="1:14" s="3" customFormat="1" ht="13.8" x14ac:dyDescent="0.25">
      <c r="A8" s="4"/>
      <c r="B8" s="5"/>
      <c r="C8" s="5"/>
      <c r="D8" s="5"/>
      <c r="L8" s="48" t="s">
        <v>33</v>
      </c>
      <c r="M8" s="49">
        <v>0.05</v>
      </c>
      <c r="N8" s="48"/>
    </row>
    <row r="9" spans="1:14" s="5" customFormat="1" ht="13.8" x14ac:dyDescent="0.25">
      <c r="A9" s="4"/>
      <c r="L9" s="50" t="s">
        <v>34</v>
      </c>
      <c r="M9" s="51">
        <v>9.5000000000000001E-2</v>
      </c>
      <c r="N9" s="52"/>
    </row>
    <row r="10" spans="1:14" s="3" customFormat="1" ht="13.8" x14ac:dyDescent="0.25">
      <c r="A10" s="6"/>
      <c r="L10" s="48"/>
      <c r="M10" s="48"/>
      <c r="N10" s="48"/>
    </row>
    <row r="11" spans="1:14" s="3" customFormat="1" ht="13.8" x14ac:dyDescent="0.25">
      <c r="A11" s="4"/>
      <c r="L11" s="48" t="s">
        <v>35</v>
      </c>
      <c r="M11" s="49">
        <v>0.95</v>
      </c>
      <c r="N11" s="48">
        <v>1.65</v>
      </c>
    </row>
    <row r="12" spans="1:14" s="3" customFormat="1" ht="13.8" x14ac:dyDescent="0.25">
      <c r="A12" s="6"/>
    </row>
    <row r="13" spans="1:14" s="3" customFormat="1" ht="13.8" x14ac:dyDescent="0.25">
      <c r="A13" s="6"/>
    </row>
    <row r="14" spans="1:14" s="3" customFormat="1" ht="13.8" x14ac:dyDescent="0.25">
      <c r="A14" s="6"/>
    </row>
    <row r="15" spans="1:14" s="7" customFormat="1" ht="13.8" x14ac:dyDescent="0.25"/>
    <row r="24" spans="2:4" x14ac:dyDescent="0.25">
      <c r="B24" t="s">
        <v>28</v>
      </c>
    </row>
    <row r="25" spans="2:4" x14ac:dyDescent="0.25">
      <c r="B25" s="53" t="s">
        <v>29</v>
      </c>
      <c r="C25" s="53"/>
      <c r="D25" s="53">
        <f>M5*M8*N11</f>
        <v>15.262499999999999</v>
      </c>
    </row>
    <row r="26" spans="2:4" x14ac:dyDescent="0.25">
      <c r="B26" s="53"/>
      <c r="C26" s="53"/>
      <c r="D26" s="53"/>
    </row>
    <row r="27" spans="2:4" x14ac:dyDescent="0.25">
      <c r="B27" s="53" t="s">
        <v>36</v>
      </c>
      <c r="C27" s="53"/>
      <c r="D27" s="53">
        <f>M6*M9*N11</f>
        <v>15.048</v>
      </c>
    </row>
    <row r="28" spans="2:4" x14ac:dyDescent="0.25">
      <c r="B28" s="53"/>
      <c r="C28" s="53"/>
      <c r="D28" s="53"/>
    </row>
    <row r="29" spans="2:4" x14ac:dyDescent="0.25">
      <c r="B29" s="53"/>
      <c r="C29" s="53"/>
      <c r="D29" s="53"/>
    </row>
    <row r="30" spans="2:4" x14ac:dyDescent="0.25">
      <c r="B30" s="53" t="s">
        <v>37</v>
      </c>
      <c r="C30" s="53"/>
      <c r="D30" s="53">
        <f>M4/D25</f>
        <v>0.42588042588042591</v>
      </c>
    </row>
    <row r="31" spans="2:4" x14ac:dyDescent="0.25">
      <c r="B31" s="53"/>
      <c r="C31" s="53"/>
      <c r="D31" s="53"/>
    </row>
    <row r="32" spans="2:4" x14ac:dyDescent="0.25">
      <c r="B32" s="53" t="s">
        <v>38</v>
      </c>
      <c r="C32" s="53"/>
      <c r="D32" s="53">
        <f>M4/D27</f>
        <v>0.4319510898458267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zoomScaleNormal="100" workbookViewId="0">
      <selection activeCell="B23" sqref="B23"/>
    </sheetView>
  </sheetViews>
  <sheetFormatPr defaultRowHeight="13.2" x14ac:dyDescent="0.25"/>
  <cols>
    <col min="2" max="2" width="34.77734375" bestFit="1" customWidth="1"/>
    <col min="3" max="3" width="9.77734375" bestFit="1" customWidth="1"/>
  </cols>
  <sheetData>
    <row r="1" spans="1:4" x14ac:dyDescent="0.25">
      <c r="B1" s="31"/>
      <c r="C1" s="32"/>
      <c r="D1" s="32"/>
    </row>
    <row r="2" spans="1:4" x14ac:dyDescent="0.25">
      <c r="A2" s="30"/>
      <c r="B2" s="33"/>
      <c r="C2" s="34"/>
      <c r="D2" s="34"/>
    </row>
    <row r="3" spans="1:4" x14ac:dyDescent="0.25">
      <c r="C3" s="32"/>
      <c r="D3" s="32"/>
    </row>
  </sheetData>
  <phoneticPr fontId="0" type="noConversion"/>
  <pageMargins left="0.75" right="0.75" top="1" bottom="1" header="0.4921259845" footer="0.492125984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B23" sqref="B23"/>
    </sheetView>
  </sheetViews>
  <sheetFormatPr defaultRowHeight="13.2" x14ac:dyDescent="0.25"/>
  <cols>
    <col min="1" max="1" width="66" customWidth="1"/>
    <col min="2" max="2" width="19.5546875" customWidth="1"/>
  </cols>
  <sheetData>
    <row r="1" spans="1:8" ht="15" x14ac:dyDescent="0.25">
      <c r="A1" s="43" t="s">
        <v>49</v>
      </c>
      <c r="C1" s="38"/>
      <c r="D1" s="38"/>
      <c r="E1" s="38"/>
      <c r="F1" s="38"/>
      <c r="G1" s="38"/>
      <c r="H1" s="38"/>
    </row>
    <row r="2" spans="1:8" ht="15" x14ac:dyDescent="0.25">
      <c r="A2" s="44"/>
      <c r="C2" s="38"/>
      <c r="D2" s="38"/>
      <c r="E2" s="38"/>
      <c r="F2" s="38"/>
      <c r="G2" s="38"/>
      <c r="H2" s="38"/>
    </row>
    <row r="3" spans="1:8" x14ac:dyDescent="0.25">
      <c r="C3" s="38"/>
      <c r="D3" s="38"/>
      <c r="E3" s="38"/>
      <c r="F3" s="38"/>
      <c r="G3" s="38"/>
      <c r="H3" s="38"/>
    </row>
    <row r="4" spans="1:8" ht="15" x14ac:dyDescent="0.25">
      <c r="A4" s="40"/>
      <c r="C4" s="38"/>
      <c r="D4" s="38"/>
      <c r="E4" s="38"/>
      <c r="F4" s="38"/>
      <c r="G4" s="38"/>
      <c r="H4" s="38"/>
    </row>
    <row r="5" spans="1:8" ht="15" x14ac:dyDescent="0.25">
      <c r="A5" s="40"/>
      <c r="B5" s="26"/>
      <c r="C5" s="38"/>
      <c r="D5" s="38"/>
      <c r="E5" s="38"/>
      <c r="F5" s="38"/>
      <c r="G5" s="38"/>
      <c r="H5" s="38"/>
    </row>
    <row r="6" spans="1:8" ht="15" x14ac:dyDescent="0.25">
      <c r="A6" s="40"/>
      <c r="C6" s="38"/>
      <c r="D6" s="38"/>
      <c r="E6" s="38"/>
      <c r="F6" s="38"/>
      <c r="G6" s="38"/>
      <c r="H6" s="38"/>
    </row>
    <row r="7" spans="1:8" ht="15" x14ac:dyDescent="0.25">
      <c r="A7" s="39"/>
      <c r="B7" s="39"/>
    </row>
    <row r="9" spans="1:8" ht="15" x14ac:dyDescent="0.25">
      <c r="A9" s="40"/>
    </row>
    <row r="10" spans="1:8" ht="15" x14ac:dyDescent="0.25">
      <c r="A10" s="40"/>
      <c r="B10" s="26"/>
    </row>
    <row r="11" spans="1:8" ht="13.8" x14ac:dyDescent="0.25">
      <c r="A11" s="41"/>
    </row>
    <row r="12" spans="1:8" ht="13.8" x14ac:dyDescent="0.25">
      <c r="A12" s="41"/>
    </row>
    <row r="13" spans="1:8" ht="15" x14ac:dyDescent="0.25">
      <c r="A13" s="44"/>
    </row>
    <row r="14" spans="1:8" ht="13.8" x14ac:dyDescent="0.25">
      <c r="A14" s="42"/>
    </row>
    <row r="15" spans="1:8" ht="13.8" x14ac:dyDescent="0.25">
      <c r="A15" s="42"/>
    </row>
    <row r="16" spans="1:8" ht="13.8" x14ac:dyDescent="0.25">
      <c r="A16" s="42"/>
    </row>
    <row r="17" spans="1:7" ht="13.8" x14ac:dyDescent="0.25">
      <c r="A17" s="42"/>
    </row>
    <row r="18" spans="1:7" ht="15" x14ac:dyDescent="0.25">
      <c r="A18" s="39"/>
    </row>
    <row r="21" spans="1:7" ht="15" x14ac:dyDescent="0.25">
      <c r="A21" t="s">
        <v>50</v>
      </c>
      <c r="B21" s="69" t="s">
        <v>51</v>
      </c>
      <c r="C21" s="69"/>
      <c r="D21" s="69"/>
      <c r="E21" s="69">
        <v>5</v>
      </c>
      <c r="F21" s="69" t="s">
        <v>52</v>
      </c>
      <c r="G21" s="69"/>
    </row>
    <row r="22" spans="1:7" ht="15" x14ac:dyDescent="0.25">
      <c r="B22" s="69"/>
      <c r="C22" s="69"/>
      <c r="D22" s="69"/>
      <c r="E22" s="69"/>
      <c r="F22" s="69"/>
      <c r="G22" s="69"/>
    </row>
    <row r="23" spans="1:7" ht="15" x14ac:dyDescent="0.25">
      <c r="B23" s="69" t="s">
        <v>53</v>
      </c>
      <c r="C23" s="69"/>
      <c r="D23" s="69"/>
      <c r="E23" s="70">
        <f>15/75*12</f>
        <v>2.4000000000000004</v>
      </c>
      <c r="F23" s="69" t="s">
        <v>54</v>
      </c>
      <c r="G23" s="69"/>
    </row>
    <row r="24" spans="1:7" ht="15" x14ac:dyDescent="0.25">
      <c r="B24" s="69"/>
      <c r="C24" s="69"/>
      <c r="D24" s="69"/>
      <c r="E24" s="70">
        <f>22.5/75*4</f>
        <v>1.2</v>
      </c>
      <c r="F24" s="69" t="s">
        <v>55</v>
      </c>
      <c r="G24" s="69"/>
    </row>
    <row r="25" spans="1:7" ht="15" x14ac:dyDescent="0.25">
      <c r="B25" s="69"/>
      <c r="C25" s="69"/>
      <c r="D25" s="69"/>
      <c r="E25" s="70">
        <f>22.5/75*2</f>
        <v>0.6</v>
      </c>
      <c r="F25" s="69" t="s">
        <v>56</v>
      </c>
      <c r="G25" s="69"/>
    </row>
    <row r="26" spans="1:7" ht="15" x14ac:dyDescent="0.25">
      <c r="B26" s="69"/>
      <c r="E26" s="71">
        <v>0.8</v>
      </c>
      <c r="F26" s="69" t="s">
        <v>59</v>
      </c>
      <c r="G26" s="69"/>
    </row>
    <row r="27" spans="1:7" ht="15" x14ac:dyDescent="0.25">
      <c r="B27" s="69"/>
      <c r="E27" s="69">
        <f>SUM(E23:E26)</f>
        <v>5</v>
      </c>
      <c r="F27" s="69"/>
      <c r="G27" s="69"/>
    </row>
    <row r="29" spans="1:7" ht="15" x14ac:dyDescent="0.25">
      <c r="C29" s="69" t="s">
        <v>57</v>
      </c>
      <c r="D29" s="69"/>
    </row>
    <row r="30" spans="1:7" ht="15" x14ac:dyDescent="0.25">
      <c r="C30" s="69" t="s">
        <v>58</v>
      </c>
      <c r="D30" s="73">
        <f>E26/(15/75)</f>
        <v>4</v>
      </c>
    </row>
  </sheetData>
  <phoneticPr fontId="0" type="noConversion"/>
  <pageMargins left="0.75" right="0.75" top="1" bottom="1" header="0.4921259845" footer="0.492125984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6"/>
  <sheetViews>
    <sheetView topLeftCell="A19" zoomScaleNormal="100" workbookViewId="0">
      <selection activeCell="B23" sqref="B23"/>
    </sheetView>
  </sheetViews>
  <sheetFormatPr defaultRowHeight="13.2" x14ac:dyDescent="0.25"/>
  <cols>
    <col min="1" max="1" width="6.21875" customWidth="1"/>
    <col min="2" max="2" width="3.77734375" bestFit="1" customWidth="1"/>
    <col min="4" max="4" width="6.77734375" customWidth="1"/>
    <col min="5" max="5" width="6.21875" bestFit="1" customWidth="1"/>
    <col min="7" max="7" width="2.44140625" customWidth="1"/>
    <col min="8" max="8" width="3.44140625" bestFit="1" customWidth="1"/>
    <col min="9" max="14" width="8.77734375" customWidth="1"/>
    <col min="15" max="15" width="13.77734375" customWidth="1"/>
    <col min="16" max="22" width="8.77734375" customWidth="1"/>
  </cols>
  <sheetData>
    <row r="1" spans="1:16" x14ac:dyDescent="0.25">
      <c r="A1" s="61" t="s">
        <v>45</v>
      </c>
    </row>
    <row r="5" spans="1:16" x14ac:dyDescent="0.25">
      <c r="O5" s="53" t="s">
        <v>44</v>
      </c>
      <c r="P5" s="45"/>
    </row>
    <row r="6" spans="1:16" x14ac:dyDescent="0.25">
      <c r="O6" s="61"/>
    </row>
    <row r="7" spans="1:16" x14ac:dyDescent="0.25">
      <c r="O7" s="61"/>
    </row>
    <row r="8" spans="1:16" x14ac:dyDescent="0.25">
      <c r="O8" s="61"/>
    </row>
    <row r="9" spans="1:16" x14ac:dyDescent="0.25">
      <c r="O9" s="61"/>
    </row>
    <row r="10" spans="1:16" x14ac:dyDescent="0.25">
      <c r="O10" s="61"/>
    </row>
    <row r="11" spans="1:16" x14ac:dyDescent="0.25">
      <c r="O11" s="61"/>
    </row>
    <row r="12" spans="1:16" x14ac:dyDescent="0.25">
      <c r="O12" s="66">
        <v>6.6500000000000004E-2</v>
      </c>
    </row>
    <row r="16" spans="1:16" x14ac:dyDescent="0.25">
      <c r="O16" s="53" t="s">
        <v>42</v>
      </c>
      <c r="P16" s="45"/>
    </row>
    <row r="17" spans="3:15" x14ac:dyDescent="0.25">
      <c r="O17" s="61"/>
    </row>
    <row r="18" spans="3:15" x14ac:dyDescent="0.25">
      <c r="O18" s="61"/>
    </row>
    <row r="19" spans="3:15" x14ac:dyDescent="0.25">
      <c r="C19" s="10"/>
      <c r="O19" s="61"/>
    </row>
    <row r="20" spans="3:15" x14ac:dyDescent="0.25">
      <c r="O20" s="61"/>
    </row>
    <row r="21" spans="3:15" x14ac:dyDescent="0.25">
      <c r="N21" t="s">
        <v>43</v>
      </c>
      <c r="O21" s="66">
        <v>3.5000000000000003E-2</v>
      </c>
    </row>
    <row r="29" spans="3:15" x14ac:dyDescent="0.25">
      <c r="O29" s="54" t="s">
        <v>40</v>
      </c>
    </row>
    <row r="30" spans="3:15" x14ac:dyDescent="0.25">
      <c r="O30" s="55" t="s">
        <v>39</v>
      </c>
    </row>
    <row r="31" spans="3:15" x14ac:dyDescent="0.25">
      <c r="O31" s="55"/>
    </row>
    <row r="32" spans="3:15" x14ac:dyDescent="0.25">
      <c r="O32" s="55">
        <v>3</v>
      </c>
    </row>
    <row r="33" spans="15:15" x14ac:dyDescent="0.25">
      <c r="O33" s="56">
        <v>0.08</v>
      </c>
    </row>
    <row r="34" spans="15:15" x14ac:dyDescent="0.25">
      <c r="O34" s="55"/>
    </row>
    <row r="35" spans="15:15" x14ac:dyDescent="0.25">
      <c r="O35" s="55"/>
    </row>
    <row r="36" spans="15:15" x14ac:dyDescent="0.25">
      <c r="O36" s="56">
        <v>0.12</v>
      </c>
    </row>
    <row r="37" spans="15:15" x14ac:dyDescent="0.25">
      <c r="O37" s="55"/>
    </row>
    <row r="38" spans="15:15" x14ac:dyDescent="0.25">
      <c r="O38" s="57">
        <v>1000000</v>
      </c>
    </row>
    <row r="39" spans="15:15" x14ac:dyDescent="0.25">
      <c r="O39" s="56">
        <v>0.5</v>
      </c>
    </row>
    <row r="40" spans="15:15" x14ac:dyDescent="0.25">
      <c r="O40" s="59" t="s">
        <v>41</v>
      </c>
    </row>
    <row r="41" spans="15:15" x14ac:dyDescent="0.25">
      <c r="O41" s="60">
        <f>O38*O33</f>
        <v>80000</v>
      </c>
    </row>
    <row r="42" spans="15:15" x14ac:dyDescent="0.25">
      <c r="O42" s="58"/>
    </row>
    <row r="43" spans="15:15" x14ac:dyDescent="0.25">
      <c r="O43" s="62">
        <f>O41*O36</f>
        <v>9600</v>
      </c>
    </row>
    <row r="44" spans="15:15" x14ac:dyDescent="0.25">
      <c r="O44" s="62"/>
    </row>
    <row r="45" spans="15:15" x14ac:dyDescent="0.25">
      <c r="O45" s="62"/>
    </row>
    <row r="46" spans="15:15" x14ac:dyDescent="0.25">
      <c r="O46" s="62">
        <f>(O38-O41)*O21</f>
        <v>32200.000000000004</v>
      </c>
    </row>
    <row r="47" spans="15:15" x14ac:dyDescent="0.25">
      <c r="O47" s="62"/>
    </row>
    <row r="48" spans="15:15" x14ac:dyDescent="0.25">
      <c r="O48" s="63">
        <f>O38*O12/3*0.5</f>
        <v>11083.333333333334</v>
      </c>
    </row>
    <row r="49" spans="15:15" x14ac:dyDescent="0.25">
      <c r="O49" s="62"/>
    </row>
    <row r="50" spans="15:15" x14ac:dyDescent="0.25">
      <c r="O50" s="63">
        <f>O43+O46+O48</f>
        <v>52883.333333333336</v>
      </c>
    </row>
    <row r="51" spans="15:15" x14ac:dyDescent="0.25">
      <c r="O51" s="58"/>
    </row>
    <row r="52" spans="15:15" x14ac:dyDescent="0.25">
      <c r="O52" s="64">
        <f>O50/O38</f>
        <v>5.2883333333333338E-2</v>
      </c>
    </row>
    <row r="53" spans="15:15" x14ac:dyDescent="0.25">
      <c r="O53" s="58"/>
    </row>
    <row r="54" spans="15:15" x14ac:dyDescent="0.25">
      <c r="O54" s="58"/>
    </row>
    <row r="55" spans="15:15" x14ac:dyDescent="0.25">
      <c r="O55" s="65">
        <f>O52-O21</f>
        <v>1.7883333333333334E-2</v>
      </c>
    </row>
    <row r="56" spans="15:15" x14ac:dyDescent="0.25">
      <c r="O56" s="58"/>
    </row>
  </sheetData>
  <phoneticPr fontId="0" type="noConversion"/>
  <pageMargins left="0.75" right="0.75" top="1" bottom="1" header="0.4921259845" footer="0.4921259845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8"/>
  <sheetViews>
    <sheetView topLeftCell="A19" zoomScaleNormal="100" workbookViewId="0">
      <selection activeCell="B23" sqref="B23"/>
    </sheetView>
  </sheetViews>
  <sheetFormatPr defaultRowHeight="13.2" x14ac:dyDescent="0.25"/>
  <cols>
    <col min="1" max="1" width="42" customWidth="1"/>
    <col min="2" max="2" width="18.21875" customWidth="1"/>
    <col min="3" max="3" width="17" bestFit="1" customWidth="1"/>
    <col min="4" max="4" width="14.21875" customWidth="1"/>
    <col min="5" max="5" width="13.44140625" customWidth="1"/>
    <col min="6" max="6" width="17.44140625" customWidth="1"/>
    <col min="7" max="7" width="13.77734375" customWidth="1"/>
    <col min="8" max="8" width="14.77734375" customWidth="1"/>
    <col min="9" max="9" width="12" customWidth="1"/>
  </cols>
  <sheetData>
    <row r="1" spans="1:10" x14ac:dyDescent="0.25">
      <c r="A1" s="46" t="s">
        <v>18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39" customHeight="1" x14ac:dyDescent="0.25">
      <c r="A2" s="290" t="s">
        <v>47</v>
      </c>
      <c r="B2" s="291"/>
      <c r="C2" s="291"/>
      <c r="D2" s="291"/>
      <c r="E2" s="38"/>
      <c r="F2" s="38"/>
      <c r="G2" s="38"/>
      <c r="H2" s="38"/>
      <c r="I2" s="38"/>
      <c r="J2" s="38"/>
    </row>
    <row r="3" spans="1:10" ht="22.5" customHeight="1" x14ac:dyDescent="0.25">
      <c r="A3" s="292" t="s">
        <v>48</v>
      </c>
      <c r="B3" s="293"/>
      <c r="C3" s="293"/>
      <c r="D3" s="293"/>
      <c r="E3" s="38"/>
      <c r="F3" s="38"/>
      <c r="G3" s="38"/>
      <c r="H3" s="38"/>
      <c r="I3" s="38"/>
      <c r="J3" s="38"/>
    </row>
    <row r="4" spans="1:10" ht="27.75" customHeight="1" x14ac:dyDescent="0.25">
      <c r="A4" s="292" t="s">
        <v>20</v>
      </c>
      <c r="B4" s="294"/>
      <c r="C4" s="294"/>
      <c r="D4" s="294"/>
      <c r="E4" s="38"/>
      <c r="F4" s="38"/>
      <c r="G4" s="38"/>
      <c r="H4" s="38"/>
      <c r="I4" s="38"/>
      <c r="J4" s="38"/>
    </row>
    <row r="5" spans="1:10" ht="12.75" hidden="1" customHeight="1" x14ac:dyDescent="0.4">
      <c r="A5" s="40" t="s">
        <v>19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idden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0" hidden="1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</row>
    <row r="8" spans="1:10" hidden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</row>
    <row r="9" spans="1:10" hidden="1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</row>
    <row r="10" spans="1:10" hidden="1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</row>
    <row r="11" spans="1:10" hidden="1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</row>
    <row r="12" spans="1:10" hidden="1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</row>
    <row r="13" spans="1:10" hidden="1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38"/>
    </row>
    <row r="14" spans="1:10" hidden="1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</row>
    <row r="15" spans="1:10" hidden="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ht="33.75" customHeight="1" x14ac:dyDescent="0.25"/>
    <row r="17" spans="1:4" x14ac:dyDescent="0.25">
      <c r="A17" t="s">
        <v>0</v>
      </c>
      <c r="B17" s="8">
        <v>39447</v>
      </c>
    </row>
    <row r="18" spans="1:4" x14ac:dyDescent="0.25">
      <c r="A18" t="s">
        <v>1</v>
      </c>
      <c r="B18" s="8">
        <v>38717</v>
      </c>
    </row>
    <row r="19" spans="1:4" x14ac:dyDescent="0.25">
      <c r="A19" t="s">
        <v>2</v>
      </c>
      <c r="B19" s="9">
        <v>15000000</v>
      </c>
    </row>
    <row r="20" spans="1:4" x14ac:dyDescent="0.25">
      <c r="A20" t="s">
        <v>27</v>
      </c>
      <c r="B20" s="10">
        <v>0.05</v>
      </c>
    </row>
    <row r="21" spans="1:4" x14ac:dyDescent="0.25">
      <c r="A21" t="s">
        <v>21</v>
      </c>
      <c r="B21" s="11">
        <v>5</v>
      </c>
    </row>
    <row r="22" spans="1:4" x14ac:dyDescent="0.25">
      <c r="A22" t="s">
        <v>3</v>
      </c>
      <c r="B22" s="11">
        <v>1</v>
      </c>
    </row>
    <row r="23" spans="1:4" x14ac:dyDescent="0.25">
      <c r="A23" t="s">
        <v>4</v>
      </c>
      <c r="B23">
        <v>2</v>
      </c>
    </row>
    <row r="24" spans="1:4" x14ac:dyDescent="0.25">
      <c r="A24" t="s">
        <v>22</v>
      </c>
      <c r="B24" s="10">
        <v>4.8000000000000001E-2</v>
      </c>
    </row>
    <row r="25" spans="1:4" x14ac:dyDescent="0.25">
      <c r="A25" t="s">
        <v>23</v>
      </c>
      <c r="B25" s="10">
        <v>5.3999999999999999E-2</v>
      </c>
    </row>
    <row r="26" spans="1:4" x14ac:dyDescent="0.25">
      <c r="A26" t="s">
        <v>24</v>
      </c>
      <c r="B26" s="10">
        <v>6.0999999999999999E-2</v>
      </c>
    </row>
    <row r="28" spans="1:4" s="19" customFormat="1" x14ac:dyDescent="0.25">
      <c r="A28" s="74"/>
      <c r="B28" s="19" t="s">
        <v>6</v>
      </c>
      <c r="C28" s="75">
        <f>POWER((1+B24)*(1+B25)*(1+B26),1/3)-1</f>
        <v>5.4319953465611581E-2</v>
      </c>
    </row>
    <row r="30" spans="1:4" x14ac:dyDescent="0.25">
      <c r="A30" s="47" t="s">
        <v>7</v>
      </c>
      <c r="B30" t="s">
        <v>46</v>
      </c>
      <c r="C30" s="13">
        <f>B19/((1-POWER(1+B20,-B21))/B20)</f>
        <v>3464621.9719240214</v>
      </c>
      <c r="D30" s="14"/>
    </row>
    <row r="33" spans="1:9" x14ac:dyDescent="0.25">
      <c r="B33" s="15" t="s">
        <v>8</v>
      </c>
      <c r="C33" s="16"/>
      <c r="D33" s="16" t="s">
        <v>9</v>
      </c>
      <c r="E33" s="16" t="s">
        <v>10</v>
      </c>
      <c r="F33" s="16" t="s">
        <v>11</v>
      </c>
      <c r="G33" s="17" t="s">
        <v>12</v>
      </c>
      <c r="H33" s="18"/>
      <c r="I33" s="19"/>
    </row>
    <row r="34" spans="1:9" x14ac:dyDescent="0.25">
      <c r="B34" s="8">
        <v>39813</v>
      </c>
      <c r="C34" s="11">
        <v>1</v>
      </c>
      <c r="D34" s="20">
        <f>C30</f>
        <v>3464621.9719240214</v>
      </c>
      <c r="E34" s="21">
        <f>1/(1+B24)</f>
        <v>0.95419847328244267</v>
      </c>
      <c r="F34" s="20">
        <f>D34*E34</f>
        <v>3305936.9961107071</v>
      </c>
      <c r="G34">
        <f>F34*C34</f>
        <v>3305936.9961107071</v>
      </c>
      <c r="H34" s="19"/>
      <c r="I34" s="19"/>
    </row>
    <row r="35" spans="1:9" x14ac:dyDescent="0.25">
      <c r="B35" s="8">
        <v>40178</v>
      </c>
      <c r="C35" s="11">
        <v>2</v>
      </c>
      <c r="D35" s="20">
        <f>C30</f>
        <v>3464621.9719240214</v>
      </c>
      <c r="E35" s="21">
        <f>1/((1+B24)*(1+B25))</f>
        <v>0.90531164448049595</v>
      </c>
      <c r="F35" s="20">
        <f>D35*E35</f>
        <v>3136562.6149057946</v>
      </c>
      <c r="G35">
        <f>C35*F35</f>
        <v>6273125.2298115892</v>
      </c>
      <c r="H35" s="19"/>
      <c r="I35" s="19"/>
    </row>
    <row r="36" spans="1:9" x14ac:dyDescent="0.25">
      <c r="B36" s="8">
        <v>40543</v>
      </c>
      <c r="C36" s="11">
        <v>3</v>
      </c>
      <c r="D36" s="20">
        <f>C30</f>
        <v>3464621.9719240214</v>
      </c>
      <c r="E36" s="21">
        <f>1/((1+B24)*(1+B25)*(1+B26))</f>
        <v>0.85326262439255041</v>
      </c>
      <c r="F36" s="20">
        <f>D36*E36</f>
        <v>2956232.4362919834</v>
      </c>
      <c r="G36">
        <f>F36*C36</f>
        <v>8868697.3088759501</v>
      </c>
      <c r="H36" s="19"/>
      <c r="I36" s="19"/>
    </row>
    <row r="37" spans="1:9" x14ac:dyDescent="0.25">
      <c r="B37" s="8"/>
      <c r="C37" s="11"/>
      <c r="D37" s="20"/>
      <c r="E37" s="21"/>
      <c r="F37" s="20"/>
      <c r="H37" s="19"/>
      <c r="I37" s="19"/>
    </row>
    <row r="38" spans="1:9" x14ac:dyDescent="0.25">
      <c r="B38" s="8"/>
      <c r="C38" s="11"/>
      <c r="D38" s="20"/>
      <c r="E38" s="21"/>
      <c r="F38" s="20"/>
      <c r="H38" s="19"/>
      <c r="I38" s="19"/>
    </row>
    <row r="39" spans="1:9" x14ac:dyDescent="0.25">
      <c r="B39" s="8"/>
      <c r="C39" s="11"/>
      <c r="D39" s="20"/>
      <c r="E39" s="21"/>
      <c r="F39" s="20"/>
      <c r="H39" s="19"/>
      <c r="I39" s="19"/>
    </row>
    <row r="40" spans="1:9" x14ac:dyDescent="0.25">
      <c r="A40" s="47" t="s">
        <v>13</v>
      </c>
      <c r="E40" s="22" t="s">
        <v>11</v>
      </c>
      <c r="F40" s="23">
        <f>SUM(F34:F39)</f>
        <v>9398732.047308486</v>
      </c>
      <c r="G40">
        <f>SUM(G34:G39)</f>
        <v>18447759.534798246</v>
      </c>
      <c r="H40" s="24"/>
      <c r="I40" s="19"/>
    </row>
    <row r="41" spans="1:9" x14ac:dyDescent="0.25">
      <c r="G41" s="24" t="s">
        <v>14</v>
      </c>
      <c r="H41" s="67">
        <f>G40/F40</f>
        <v>1.9627923683685746</v>
      </c>
      <c r="I41" s="19"/>
    </row>
    <row r="42" spans="1:9" x14ac:dyDescent="0.25">
      <c r="D42" s="25">
        <f>C28/B22</f>
        <v>5.4319953465611581E-2</v>
      </c>
      <c r="F42" s="14"/>
      <c r="G42" s="26" t="s">
        <v>15</v>
      </c>
      <c r="H42" s="68">
        <f>H41/(1+D42)</f>
        <v>1.8616667188330838</v>
      </c>
    </row>
    <row r="43" spans="1:9" x14ac:dyDescent="0.25">
      <c r="F43" s="27"/>
    </row>
    <row r="45" spans="1:9" x14ac:dyDescent="0.25">
      <c r="A45" s="47" t="s">
        <v>16</v>
      </c>
      <c r="B45" s="28">
        <v>4.0000000000000001E-3</v>
      </c>
    </row>
    <row r="46" spans="1:9" x14ac:dyDescent="0.25">
      <c r="B46" s="26" t="s">
        <v>17</v>
      </c>
      <c r="C46" s="29">
        <f>-H42*B45*F40</f>
        <v>-69989.226606816563</v>
      </c>
    </row>
    <row r="48" spans="1:9" x14ac:dyDescent="0.25">
      <c r="A48" s="47" t="s">
        <v>25</v>
      </c>
      <c r="B48" s="26" t="s">
        <v>26</v>
      </c>
    </row>
  </sheetData>
  <mergeCells count="3">
    <mergeCell ref="A2:D2"/>
    <mergeCell ref="A3:D3"/>
    <mergeCell ref="A4:D4"/>
  </mergeCells>
  <phoneticPr fontId="0" type="noConversion"/>
  <pageMargins left="0.75" right="0.75" top="1" bottom="1" header="0.4921259845" footer="0.4921259845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8"/>
  <sheetViews>
    <sheetView topLeftCell="A4" workbookViewId="0">
      <selection activeCell="B23" sqref="B23"/>
    </sheetView>
  </sheetViews>
  <sheetFormatPr defaultRowHeight="13.2" x14ac:dyDescent="0.25"/>
  <cols>
    <col min="1" max="1" width="42" customWidth="1"/>
    <col min="2" max="2" width="18.21875" customWidth="1"/>
    <col min="3" max="3" width="17" bestFit="1" customWidth="1"/>
    <col min="4" max="4" width="14.21875" customWidth="1"/>
    <col min="5" max="5" width="13.44140625" customWidth="1"/>
    <col min="6" max="6" width="17.44140625" customWidth="1"/>
    <col min="7" max="7" width="13.77734375" customWidth="1"/>
    <col min="8" max="8" width="14.77734375" customWidth="1"/>
    <col min="9" max="9" width="12" customWidth="1"/>
  </cols>
  <sheetData>
    <row r="1" spans="1:10" x14ac:dyDescent="0.25">
      <c r="A1" s="46" t="s">
        <v>18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39" customHeight="1" x14ac:dyDescent="0.25">
      <c r="A2" s="290" t="s">
        <v>47</v>
      </c>
      <c r="B2" s="291"/>
      <c r="C2" s="291"/>
      <c r="D2" s="291"/>
      <c r="E2" s="38"/>
      <c r="F2" s="38"/>
      <c r="G2" s="38"/>
      <c r="H2" s="38"/>
      <c r="I2" s="38"/>
      <c r="J2" s="38"/>
    </row>
    <row r="3" spans="1:10" ht="22.5" customHeight="1" x14ac:dyDescent="0.25">
      <c r="A3" s="292" t="s">
        <v>48</v>
      </c>
      <c r="B3" s="293"/>
      <c r="C3" s="293"/>
      <c r="D3" s="293"/>
      <c r="E3" s="38"/>
      <c r="F3" s="38"/>
      <c r="G3" s="38"/>
      <c r="H3" s="38"/>
      <c r="I3" s="38"/>
      <c r="J3" s="38"/>
    </row>
    <row r="4" spans="1:10" ht="27.75" customHeight="1" x14ac:dyDescent="0.25">
      <c r="A4" s="292" t="s">
        <v>20</v>
      </c>
      <c r="B4" s="294"/>
      <c r="C4" s="294"/>
      <c r="D4" s="294"/>
      <c r="E4" s="38"/>
      <c r="F4" s="38"/>
      <c r="G4" s="38"/>
      <c r="H4" s="38"/>
      <c r="I4" s="38"/>
      <c r="J4" s="38"/>
    </row>
    <row r="5" spans="1:10" ht="12.75" hidden="1" customHeight="1" x14ac:dyDescent="0.4">
      <c r="A5" s="40" t="s">
        <v>19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idden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0" hidden="1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</row>
    <row r="8" spans="1:10" hidden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</row>
    <row r="9" spans="1:10" hidden="1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</row>
    <row r="10" spans="1:10" hidden="1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</row>
    <row r="11" spans="1:10" hidden="1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</row>
    <row r="12" spans="1:10" hidden="1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</row>
    <row r="13" spans="1:10" hidden="1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38"/>
    </row>
    <row r="14" spans="1:10" hidden="1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</row>
    <row r="15" spans="1:10" hidden="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 ht="33.75" customHeight="1" x14ac:dyDescent="0.25"/>
    <row r="17" spans="1:4" x14ac:dyDescent="0.25">
      <c r="A17" t="s">
        <v>0</v>
      </c>
      <c r="B17" s="8">
        <v>39469</v>
      </c>
    </row>
    <row r="18" spans="1:4" x14ac:dyDescent="0.25">
      <c r="A18" t="s">
        <v>1</v>
      </c>
      <c r="B18" s="8">
        <v>38374</v>
      </c>
    </row>
    <row r="19" spans="1:4" x14ac:dyDescent="0.25">
      <c r="A19" t="s">
        <v>2</v>
      </c>
      <c r="B19" s="9">
        <v>100000000</v>
      </c>
    </row>
    <row r="20" spans="1:4" x14ac:dyDescent="0.25">
      <c r="A20" t="s">
        <v>27</v>
      </c>
      <c r="B20" s="10">
        <v>0.06</v>
      </c>
    </row>
    <row r="21" spans="1:4" x14ac:dyDescent="0.25">
      <c r="A21" t="s">
        <v>21</v>
      </c>
      <c r="B21" s="11">
        <v>6</v>
      </c>
    </row>
    <row r="22" spans="1:4" x14ac:dyDescent="0.25">
      <c r="A22" t="s">
        <v>3</v>
      </c>
      <c r="B22" s="11">
        <v>1</v>
      </c>
    </row>
    <row r="23" spans="1:4" x14ac:dyDescent="0.25">
      <c r="A23" t="s">
        <v>4</v>
      </c>
      <c r="B23">
        <v>2</v>
      </c>
    </row>
    <row r="24" spans="1:4" x14ac:dyDescent="0.25">
      <c r="A24" t="s">
        <v>22</v>
      </c>
      <c r="B24" s="10">
        <v>4.8000000000000001E-2</v>
      </c>
    </row>
    <row r="25" spans="1:4" x14ac:dyDescent="0.25">
      <c r="A25" t="s">
        <v>23</v>
      </c>
      <c r="B25" s="10">
        <v>5.3999999999999999E-2</v>
      </c>
    </row>
    <row r="26" spans="1:4" x14ac:dyDescent="0.25">
      <c r="A26" t="s">
        <v>24</v>
      </c>
      <c r="B26" s="10">
        <v>6.0999999999999999E-2</v>
      </c>
    </row>
    <row r="28" spans="1:4" x14ac:dyDescent="0.25">
      <c r="A28" s="47" t="s">
        <v>5</v>
      </c>
      <c r="B28" t="s">
        <v>6</v>
      </c>
      <c r="C28" s="12">
        <f>POWER((1+B24)*(1+B25)*(1+B26),1/3)-1</f>
        <v>5.4319953465611581E-2</v>
      </c>
    </row>
    <row r="30" spans="1:4" x14ac:dyDescent="0.25">
      <c r="A30" s="47" t="s">
        <v>7</v>
      </c>
      <c r="B30" t="s">
        <v>46</v>
      </c>
      <c r="C30" s="13">
        <f>B19/((1-POWER(1+B20,-B21))/B20)</f>
        <v>20336262.847489525</v>
      </c>
      <c r="D30" s="14"/>
    </row>
    <row r="33" spans="1:9" x14ac:dyDescent="0.25">
      <c r="B33" s="15" t="s">
        <v>8</v>
      </c>
      <c r="C33" s="16"/>
      <c r="D33" s="16" t="s">
        <v>9</v>
      </c>
      <c r="E33" s="16" t="s">
        <v>10</v>
      </c>
      <c r="F33" s="16" t="s">
        <v>11</v>
      </c>
      <c r="G33" s="17" t="s">
        <v>12</v>
      </c>
      <c r="H33" s="18"/>
      <c r="I33" s="19"/>
    </row>
    <row r="34" spans="1:9" x14ac:dyDescent="0.25">
      <c r="B34" s="8">
        <v>39813</v>
      </c>
      <c r="C34" s="11">
        <v>1</v>
      </c>
      <c r="D34" s="20">
        <f>C30</f>
        <v>20336262.847489525</v>
      </c>
      <c r="E34" s="21">
        <f>1/(1+C28)</f>
        <v>0.94847868212390485</v>
      </c>
      <c r="F34" s="20">
        <f>D34*E34</f>
        <v>19288511.784912191</v>
      </c>
      <c r="G34">
        <f>F34*C34</f>
        <v>19288511.784912191</v>
      </c>
      <c r="H34" s="19"/>
      <c r="I34" s="19"/>
    </row>
    <row r="35" spans="1:9" x14ac:dyDescent="0.25">
      <c r="B35" s="8">
        <v>40178</v>
      </c>
      <c r="C35" s="11">
        <v>2</v>
      </c>
      <c r="D35" s="20">
        <f>C30</f>
        <v>20336262.847489525</v>
      </c>
      <c r="E35" s="21">
        <f>1/((1+C28)*(1+C28))</f>
        <v>0.89961181044349947</v>
      </c>
      <c r="F35" s="20">
        <f>D35*E35</f>
        <v>18294742.237884928</v>
      </c>
      <c r="G35">
        <f>C35*F35</f>
        <v>36589484.475769855</v>
      </c>
      <c r="H35" s="19"/>
      <c r="I35" s="19"/>
    </row>
    <row r="36" spans="1:9" x14ac:dyDescent="0.25">
      <c r="B36" s="8">
        <v>40543</v>
      </c>
      <c r="C36" s="11">
        <v>3</v>
      </c>
      <c r="D36" s="20">
        <f>C30</f>
        <v>20336262.847489525</v>
      </c>
      <c r="E36" s="21">
        <f>1/((1+C28)*(1+C28)*(1+C28))</f>
        <v>0.85326262439255041</v>
      </c>
      <c r="F36" s="20">
        <f>D36*E36</f>
        <v>17352173.007585634</v>
      </c>
      <c r="G36">
        <f>F36*C36</f>
        <v>52056519.022756904</v>
      </c>
      <c r="H36" s="19"/>
      <c r="I36" s="19"/>
    </row>
    <row r="37" spans="1:9" x14ac:dyDescent="0.25">
      <c r="B37" s="8"/>
      <c r="C37" s="11"/>
      <c r="D37" s="20"/>
      <c r="E37" s="21"/>
      <c r="F37" s="20"/>
      <c r="H37" s="19"/>
      <c r="I37" s="19"/>
    </row>
    <row r="38" spans="1:9" x14ac:dyDescent="0.25">
      <c r="B38" s="8"/>
      <c r="C38" s="11"/>
      <c r="D38" s="20"/>
      <c r="E38" s="21"/>
      <c r="F38" s="20"/>
      <c r="H38" s="19"/>
      <c r="I38" s="19"/>
    </row>
    <row r="39" spans="1:9" x14ac:dyDescent="0.25">
      <c r="B39" s="8"/>
      <c r="C39" s="11"/>
      <c r="D39" s="20"/>
      <c r="E39" s="21"/>
      <c r="F39" s="20"/>
      <c r="H39" s="19"/>
      <c r="I39" s="19"/>
    </row>
    <row r="40" spans="1:9" x14ac:dyDescent="0.25">
      <c r="A40" s="47" t="s">
        <v>13</v>
      </c>
      <c r="E40" s="22" t="s">
        <v>11</v>
      </c>
      <c r="F40" s="23">
        <f>SUM(F34:F39)</f>
        <v>54935427.030382752</v>
      </c>
      <c r="G40">
        <f>SUM(G34:G39)</f>
        <v>107934515.28343895</v>
      </c>
      <c r="H40" s="24"/>
      <c r="I40" s="19"/>
    </row>
    <row r="41" spans="1:9" x14ac:dyDescent="0.25">
      <c r="G41" s="24" t="s">
        <v>14</v>
      </c>
      <c r="H41" s="67">
        <f>G40/F40</f>
        <v>1.9647524578946909</v>
      </c>
      <c r="I41" s="19"/>
    </row>
    <row r="42" spans="1:9" x14ac:dyDescent="0.25">
      <c r="D42" s="25">
        <f>C28/B22</f>
        <v>5.4319953465611581E-2</v>
      </c>
      <c r="F42" s="14"/>
      <c r="G42" s="26" t="s">
        <v>15</v>
      </c>
      <c r="H42" s="68">
        <f>H41/(1+D42)</f>
        <v>1.8635258219636592</v>
      </c>
    </row>
    <row r="43" spans="1:9" x14ac:dyDescent="0.25">
      <c r="F43" s="27"/>
    </row>
    <row r="45" spans="1:9" x14ac:dyDescent="0.25">
      <c r="A45" s="47" t="s">
        <v>16</v>
      </c>
      <c r="B45" s="28">
        <v>4.0000000000000001E-3</v>
      </c>
    </row>
    <row r="46" spans="1:9" x14ac:dyDescent="0.25">
      <c r="B46" s="26" t="s">
        <v>17</v>
      </c>
      <c r="C46" s="29">
        <f>-H42*B45*F40</f>
        <v>-409494.34724687459</v>
      </c>
    </row>
    <row r="48" spans="1:9" x14ac:dyDescent="0.25">
      <c r="A48" s="47" t="s">
        <v>25</v>
      </c>
      <c r="B48" s="26" t="s">
        <v>26</v>
      </c>
    </row>
  </sheetData>
  <mergeCells count="3">
    <mergeCell ref="A2:D2"/>
    <mergeCell ref="A3:D3"/>
    <mergeCell ref="A4:D4"/>
  </mergeCells>
  <phoneticPr fontId="0" type="noConversion"/>
  <pageMargins left="0.75" right="0.75" top="1" bottom="1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5878B-F0A1-4EE0-AB47-521A1BBBDB2C}">
  <dimension ref="A1:J34"/>
  <sheetViews>
    <sheetView workbookViewId="0">
      <selection activeCell="D22" sqref="D22"/>
    </sheetView>
  </sheetViews>
  <sheetFormatPr defaultRowHeight="13.2" x14ac:dyDescent="0.25"/>
  <cols>
    <col min="1" max="1" width="50.77734375" customWidth="1"/>
    <col min="2" max="2" width="14" customWidth="1"/>
    <col min="3" max="3" width="12.33203125" customWidth="1"/>
    <col min="4" max="4" width="10.6640625" customWidth="1"/>
    <col min="5" max="5" width="46.77734375" customWidth="1"/>
    <col min="6" max="6" width="8.33203125" customWidth="1"/>
    <col min="7" max="7" width="9.21875" customWidth="1"/>
  </cols>
  <sheetData>
    <row r="1" spans="1:10" ht="14.4" x14ac:dyDescent="0.3">
      <c r="A1" s="121" t="s">
        <v>107</v>
      </c>
      <c r="B1" s="154"/>
      <c r="C1" s="122"/>
      <c r="D1" s="123"/>
      <c r="E1" s="124"/>
      <c r="F1" s="31"/>
      <c r="G1" s="154"/>
      <c r="H1" s="177"/>
      <c r="I1" t="s">
        <v>127</v>
      </c>
      <c r="J1" s="10">
        <v>4.0000000000000001E-3</v>
      </c>
    </row>
    <row r="2" spans="1:10" ht="39.6" customHeight="1" x14ac:dyDescent="0.3">
      <c r="A2" s="125" t="s">
        <v>108</v>
      </c>
      <c r="B2" s="189" t="s">
        <v>126</v>
      </c>
      <c r="C2" s="126"/>
      <c r="D2" s="181" t="s">
        <v>141</v>
      </c>
      <c r="E2" s="127" t="s">
        <v>109</v>
      </c>
      <c r="F2" s="189" t="s">
        <v>126</v>
      </c>
      <c r="G2" s="173"/>
      <c r="H2" s="178" t="s">
        <v>132</v>
      </c>
    </row>
    <row r="3" spans="1:10" ht="14.4" x14ac:dyDescent="0.25">
      <c r="A3" s="130" t="s">
        <v>106</v>
      </c>
      <c r="B3" s="158">
        <v>0</v>
      </c>
      <c r="C3" s="131">
        <v>80</v>
      </c>
      <c r="D3" s="166">
        <f>B3*C3</f>
        <v>0</v>
      </c>
      <c r="E3" s="180" t="s">
        <v>140</v>
      </c>
      <c r="F3" s="179">
        <f>J1-0.2%</f>
        <v>2E-3</v>
      </c>
      <c r="G3" s="131">
        <v>120</v>
      </c>
      <c r="H3" s="182">
        <f>F3*G3</f>
        <v>0.24</v>
      </c>
    </row>
    <row r="4" spans="1:10" ht="14.4" x14ac:dyDescent="0.25">
      <c r="A4" s="153" t="s">
        <v>134</v>
      </c>
      <c r="B4" s="159">
        <f>J1+1%</f>
        <v>1.4E-2</v>
      </c>
      <c r="C4" s="133">
        <v>20</v>
      </c>
      <c r="D4" s="167">
        <f t="shared" ref="D4:D11" si="0">B4*C4</f>
        <v>0.28000000000000003</v>
      </c>
      <c r="E4" s="163" t="s">
        <v>114</v>
      </c>
      <c r="F4" s="169">
        <v>0.02</v>
      </c>
      <c r="G4" s="174">
        <v>180</v>
      </c>
      <c r="H4" s="182">
        <f t="shared" ref="H4:H9" si="1">F4*G4</f>
        <v>3.6</v>
      </c>
    </row>
    <row r="5" spans="1:10" ht="14.4" x14ac:dyDescent="0.25">
      <c r="A5" s="153" t="s">
        <v>110</v>
      </c>
      <c r="B5" s="160">
        <f>J1</f>
        <v>4.0000000000000001E-3</v>
      </c>
      <c r="C5" s="133">
        <v>30</v>
      </c>
      <c r="D5" s="167">
        <f t="shared" si="0"/>
        <v>0.12</v>
      </c>
      <c r="E5" s="170" t="s">
        <v>139</v>
      </c>
      <c r="F5" s="169">
        <f>1.5 %</f>
        <v>1.4999999999999999E-2</v>
      </c>
      <c r="G5" s="175">
        <v>160</v>
      </c>
      <c r="H5" s="182">
        <f t="shared" si="1"/>
        <v>2.4</v>
      </c>
    </row>
    <row r="6" spans="1:10" ht="18.45" customHeight="1" x14ac:dyDescent="0.25">
      <c r="A6" s="153" t="s">
        <v>128</v>
      </c>
      <c r="B6" s="161">
        <f>0.1%</f>
        <v>1E-3</v>
      </c>
      <c r="C6" s="133">
        <v>30</v>
      </c>
      <c r="D6" s="167">
        <f t="shared" si="0"/>
        <v>0.03</v>
      </c>
      <c r="E6" s="170" t="s">
        <v>138</v>
      </c>
      <c r="F6" s="169">
        <v>3.0000000000000001E-3</v>
      </c>
      <c r="G6" s="174">
        <v>215</v>
      </c>
      <c r="H6" s="182">
        <f t="shared" si="1"/>
        <v>0.64500000000000002</v>
      </c>
    </row>
    <row r="7" spans="1:10" ht="14.4" x14ac:dyDescent="0.25">
      <c r="A7" s="153" t="s">
        <v>129</v>
      </c>
      <c r="B7" s="162">
        <v>0.03</v>
      </c>
      <c r="C7" s="133">
        <v>25</v>
      </c>
      <c r="D7" s="167">
        <f t="shared" si="0"/>
        <v>0.75</v>
      </c>
      <c r="E7" s="170" t="s">
        <v>131</v>
      </c>
      <c r="F7" s="171">
        <f>3.3%</f>
        <v>3.3000000000000002E-2</v>
      </c>
      <c r="G7" s="133">
        <v>20</v>
      </c>
      <c r="H7" s="182">
        <f t="shared" si="1"/>
        <v>0.66</v>
      </c>
    </row>
    <row r="8" spans="1:10" ht="14.4" x14ac:dyDescent="0.25">
      <c r="A8" s="153" t="s">
        <v>133</v>
      </c>
      <c r="B8" s="160">
        <f>J1+2.5 %</f>
        <v>2.9000000000000001E-2</v>
      </c>
      <c r="C8" s="133">
        <v>200</v>
      </c>
      <c r="D8" s="167">
        <f t="shared" si="0"/>
        <v>5.8000000000000007</v>
      </c>
      <c r="E8" s="164"/>
      <c r="F8" s="164"/>
      <c r="G8" s="164"/>
      <c r="H8" s="182">
        <f t="shared" si="1"/>
        <v>0</v>
      </c>
    </row>
    <row r="9" spans="1:10" ht="14.4" x14ac:dyDescent="0.25">
      <c r="A9" s="153" t="s">
        <v>135</v>
      </c>
      <c r="B9" s="160">
        <f>J1+1.9%</f>
        <v>2.3E-2</v>
      </c>
      <c r="C9" s="133">
        <v>250</v>
      </c>
      <c r="D9" s="167">
        <f t="shared" si="0"/>
        <v>5.75</v>
      </c>
      <c r="E9" s="163"/>
      <c r="F9" s="163"/>
      <c r="G9" s="176"/>
      <c r="H9" s="182">
        <f t="shared" si="1"/>
        <v>0</v>
      </c>
    </row>
    <row r="10" spans="1:10" ht="14.4" x14ac:dyDescent="0.25">
      <c r="A10" s="132" t="s">
        <v>111</v>
      </c>
      <c r="B10" s="155"/>
      <c r="C10" s="133">
        <v>10</v>
      </c>
      <c r="D10" s="167">
        <f t="shared" si="0"/>
        <v>0</v>
      </c>
      <c r="E10" s="163" t="s">
        <v>113</v>
      </c>
      <c r="F10" s="163"/>
      <c r="G10" s="133">
        <v>80</v>
      </c>
      <c r="H10" s="182"/>
    </row>
    <row r="11" spans="1:10" ht="14.4" x14ac:dyDescent="0.25">
      <c r="A11" s="134" t="s">
        <v>112</v>
      </c>
      <c r="B11" s="156"/>
      <c r="C11" s="135">
        <v>130</v>
      </c>
      <c r="D11" s="167">
        <f t="shared" si="0"/>
        <v>0</v>
      </c>
      <c r="E11" s="163"/>
      <c r="F11" s="163"/>
      <c r="G11" s="155"/>
      <c r="H11" s="182"/>
    </row>
    <row r="12" spans="1:10" ht="14.4" x14ac:dyDescent="0.25">
      <c r="D12" s="167"/>
      <c r="E12" s="165"/>
      <c r="F12" s="165"/>
      <c r="G12" s="165"/>
      <c r="H12" s="182"/>
    </row>
    <row r="13" spans="1:10" ht="15" thickBot="1" x14ac:dyDescent="0.35">
      <c r="A13" s="128" t="s">
        <v>92</v>
      </c>
      <c r="B13" s="157"/>
      <c r="C13" s="129">
        <f>SUM(C3:C11)</f>
        <v>775</v>
      </c>
      <c r="D13" s="168"/>
      <c r="E13" s="157" t="s">
        <v>92</v>
      </c>
      <c r="F13" s="157"/>
      <c r="G13" s="129">
        <f>G4+G5+G6+G10+G7+G3</f>
        <v>775</v>
      </c>
      <c r="H13" s="183"/>
    </row>
    <row r="14" spans="1:10" x14ac:dyDescent="0.25">
      <c r="D14" s="31"/>
    </row>
    <row r="16" spans="1:10" x14ac:dyDescent="0.25">
      <c r="A16" t="s">
        <v>130</v>
      </c>
      <c r="D16">
        <f>SUM(D3:D15)</f>
        <v>12.73</v>
      </c>
      <c r="H16">
        <f>SUM(H3:H15)</f>
        <v>7.5449999999999999</v>
      </c>
    </row>
    <row r="17" spans="1:4" ht="13.8" thickBot="1" x14ac:dyDescent="0.3"/>
    <row r="18" spans="1:4" ht="13.8" thickBot="1" x14ac:dyDescent="0.3">
      <c r="A18" s="120" t="s">
        <v>136</v>
      </c>
      <c r="B18" s="186"/>
      <c r="C18" s="186"/>
      <c r="D18" s="187">
        <f>D16-H16</f>
        <v>5.1850000000000005</v>
      </c>
    </row>
    <row r="20" spans="1:4" x14ac:dyDescent="0.25">
      <c r="A20" s="119" t="s">
        <v>137</v>
      </c>
      <c r="D20" s="188" t="s">
        <v>143</v>
      </c>
    </row>
    <row r="21" spans="1:4" ht="26.4" x14ac:dyDescent="0.25">
      <c r="A21" s="184" t="s">
        <v>142</v>
      </c>
      <c r="B21" s="172">
        <f>0.2%</f>
        <v>2E-3</v>
      </c>
      <c r="D21">
        <f>4.425</f>
        <v>4.4249999999999998</v>
      </c>
    </row>
    <row r="22" spans="1:4" x14ac:dyDescent="0.25">
      <c r="A22" s="185"/>
      <c r="B22" s="172">
        <v>4.0000000000000001E-3</v>
      </c>
      <c r="D22">
        <v>5.1849999999999996</v>
      </c>
    </row>
    <row r="23" spans="1:4" x14ac:dyDescent="0.25">
      <c r="B23" s="172">
        <v>6.0000000000000001E-3</v>
      </c>
      <c r="D23">
        <v>5.9450000000000003</v>
      </c>
    </row>
    <row r="24" spans="1:4" x14ac:dyDescent="0.25">
      <c r="B24" s="172">
        <v>8.0000000000000002E-3</v>
      </c>
      <c r="D24">
        <v>6.7050000000000001</v>
      </c>
    </row>
    <row r="25" spans="1:4" x14ac:dyDescent="0.25">
      <c r="B25" s="172">
        <v>0.01</v>
      </c>
      <c r="D25">
        <v>7.4649999999999999</v>
      </c>
    </row>
    <row r="26" spans="1:4" x14ac:dyDescent="0.25">
      <c r="B26" s="172">
        <v>0.02</v>
      </c>
      <c r="D26">
        <v>11.265000000000001</v>
      </c>
    </row>
    <row r="29" spans="1:4" ht="30" customHeight="1" x14ac:dyDescent="0.25">
      <c r="C29" s="184"/>
      <c r="D29" s="184"/>
    </row>
    <row r="30" spans="1:4" x14ac:dyDescent="0.25">
      <c r="B30" s="117"/>
      <c r="C30" s="10"/>
      <c r="D30" s="10"/>
    </row>
    <row r="31" spans="1:4" x14ac:dyDescent="0.25">
      <c r="C31" s="10"/>
      <c r="D31" s="118"/>
    </row>
    <row r="32" spans="1:4" x14ac:dyDescent="0.25">
      <c r="C32" s="118"/>
      <c r="D32" s="10"/>
    </row>
    <row r="33" spans="3:4" x14ac:dyDescent="0.25">
      <c r="C33" s="10"/>
      <c r="D33" s="118"/>
    </row>
    <row r="34" spans="3:4" x14ac:dyDescent="0.25">
      <c r="C34" s="118"/>
      <c r="D34" s="10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B112-2745-4764-B12D-D0F39496677F}">
  <dimension ref="A1:C6"/>
  <sheetViews>
    <sheetView topLeftCell="D1" workbookViewId="0">
      <selection activeCell="M10" sqref="M10"/>
    </sheetView>
  </sheetViews>
  <sheetFormatPr defaultRowHeight="13.2" x14ac:dyDescent="0.25"/>
  <cols>
    <col min="2" max="2" width="10.6640625" customWidth="1"/>
  </cols>
  <sheetData>
    <row r="1" spans="1:3" ht="26.4" x14ac:dyDescent="0.25">
      <c r="B1" s="184" t="s">
        <v>149</v>
      </c>
      <c r="C1" s="184" t="s">
        <v>150</v>
      </c>
    </row>
    <row r="2" spans="1:3" x14ac:dyDescent="0.25">
      <c r="A2" s="117" t="s">
        <v>148</v>
      </c>
      <c r="B2" s="10">
        <v>1E-3</v>
      </c>
      <c r="C2" s="10">
        <f>B2+2%</f>
        <v>2.1000000000000001E-2</v>
      </c>
    </row>
    <row r="3" spans="1:3" x14ac:dyDescent="0.25">
      <c r="A3" t="s">
        <v>144</v>
      </c>
      <c r="B3" s="10">
        <v>2E-3</v>
      </c>
      <c r="C3" s="118">
        <f>B3+2%</f>
        <v>2.1999999999999999E-2</v>
      </c>
    </row>
    <row r="4" spans="1:3" x14ac:dyDescent="0.25">
      <c r="A4" t="s">
        <v>145</v>
      </c>
      <c r="B4" s="118">
        <v>0.03</v>
      </c>
      <c r="C4" s="10">
        <v>3.1E-2</v>
      </c>
    </row>
    <row r="5" spans="1:3" x14ac:dyDescent="0.25">
      <c r="A5" t="s">
        <v>146</v>
      </c>
      <c r="B5" s="10">
        <v>0.04</v>
      </c>
      <c r="C5" s="118">
        <v>4.2000000000000003E-2</v>
      </c>
    </row>
    <row r="6" spans="1:3" x14ac:dyDescent="0.25">
      <c r="A6" t="s">
        <v>147</v>
      </c>
      <c r="B6" s="118">
        <v>0.05</v>
      </c>
      <c r="C6" s="10">
        <v>5.2999999999999999E-2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2</vt:i4>
      </vt:variant>
    </vt:vector>
  </HeadingPairs>
  <TitlesOfParts>
    <vt:vector size="15" baseType="lpstr">
      <vt:lpstr>B1old</vt:lpstr>
      <vt:lpstr>B2old</vt:lpstr>
      <vt:lpstr>B3old</vt:lpstr>
      <vt:lpstr>B4old</vt:lpstr>
      <vt:lpstr>B5old</vt:lpstr>
      <vt:lpstr>B6old</vt:lpstr>
      <vt:lpstr>B6aold</vt:lpstr>
      <vt:lpstr>Example_1</vt:lpstr>
      <vt:lpstr>Yield curve</vt:lpstr>
      <vt:lpstr>Example 2 - opening balance</vt:lpstr>
      <vt:lpstr>Example 2</vt:lpstr>
      <vt:lpstr>B6</vt:lpstr>
      <vt:lpstr>B total</vt:lpstr>
      <vt:lpstr>B6old!OLE_LINK1</vt:lpstr>
      <vt:lpstr>RozsahHlavicekSouboruu</vt:lpstr>
    </vt:vector>
  </TitlesOfParts>
  <Company>ČSOB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Teplý</dc:creator>
  <cp:lastModifiedBy>Blahoslav Rejent</cp:lastModifiedBy>
  <cp:lastPrinted>2012-10-16T13:02:22Z</cp:lastPrinted>
  <dcterms:created xsi:type="dcterms:W3CDTF">2005-12-20T18:51:56Z</dcterms:created>
  <dcterms:modified xsi:type="dcterms:W3CDTF">2020-11-04T18:53:10Z</dcterms:modified>
</cp:coreProperties>
</file>