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ína\Documents\School\Karlovka MFF\3.1 Banking\Credit Application\"/>
    </mc:Choice>
  </mc:AlternateContent>
  <xr:revisionPtr revIDLastSave="0" documentId="13_ncr:1_{08891423-CD6D-4AF3-A13F-51B827228B8E}" xr6:coauthVersionLast="41" xr6:coauthVersionMax="45" xr10:uidLastSave="{00000000-0000-0000-0000-000000000000}"/>
  <bookViews>
    <workbookView xWindow="-108" yWindow="-108" windowWidth="23256" windowHeight="12600" activeTab="1" xr2:uid="{FE7992C9-6582-4B34-B138-98662DA93551}"/>
  </bookViews>
  <sheets>
    <sheet name="Past performance" sheetId="1" r:id="rId1"/>
    <sheet name="Future without the project" sheetId="2" r:id="rId2"/>
    <sheet name="Future - the project" sheetId="4" r:id="rId3"/>
    <sheet name="Future with the project" sheetId="3" r:id="rId4"/>
    <sheet name="Loan repayment" sheetId="5" r:id="rId5"/>
    <sheet name="Ratio analysis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3"/>
  <c r="I4" i="2"/>
  <c r="H4" i="2"/>
  <c r="G4" i="2"/>
  <c r="C13" i="6" l="1"/>
  <c r="D13" i="6"/>
  <c r="B13" i="6"/>
  <c r="D6" i="6" l="1"/>
  <c r="C6" i="6"/>
  <c r="B6" i="6"/>
  <c r="B9" i="4"/>
  <c r="G16" i="3" l="1"/>
  <c r="G21" i="3"/>
  <c r="H21" i="3"/>
  <c r="I21" i="3"/>
  <c r="B8" i="3"/>
  <c r="C8" i="3"/>
  <c r="D8" i="3"/>
  <c r="B15" i="3"/>
  <c r="C15" i="3"/>
  <c r="D15" i="3"/>
  <c r="B18" i="3"/>
  <c r="C18" i="3"/>
  <c r="D18" i="3"/>
  <c r="B19" i="3"/>
  <c r="C19" i="3"/>
  <c r="D19" i="3"/>
  <c r="B20" i="3"/>
  <c r="C20" i="3"/>
  <c r="D20" i="3"/>
  <c r="B21" i="3"/>
  <c r="C21" i="3"/>
  <c r="D21" i="3"/>
  <c r="B27" i="3"/>
  <c r="B29" i="3"/>
  <c r="C29" i="3"/>
  <c r="D29" i="3"/>
  <c r="H9" i="4"/>
  <c r="I8" i="4"/>
  <c r="H4" i="4"/>
  <c r="I4" i="4"/>
  <c r="I5" i="4"/>
  <c r="H8" i="4"/>
  <c r="H13" i="4" l="1"/>
  <c r="I10" i="4"/>
  <c r="H10" i="4"/>
  <c r="C7" i="4"/>
  <c r="C5" i="4" s="1"/>
  <c r="D7" i="4"/>
  <c r="H7" i="4"/>
  <c r="H12" i="4" s="1"/>
  <c r="I13" i="4"/>
  <c r="I9" i="4"/>
  <c r="I7" i="4" s="1"/>
  <c r="B23" i="4"/>
  <c r="B17" i="4"/>
  <c r="B16" i="4"/>
  <c r="B4" i="4"/>
  <c r="B5" i="4"/>
  <c r="B34" i="2"/>
  <c r="D37" i="2"/>
  <c r="C33" i="2"/>
  <c r="D36" i="2"/>
  <c r="D32" i="2"/>
  <c r="D51" i="2"/>
  <c r="K17" i="2"/>
  <c r="C41" i="2"/>
  <c r="B41" i="2"/>
  <c r="B39" i="2"/>
  <c r="C37" i="2"/>
  <c r="B37" i="2"/>
  <c r="C36" i="2"/>
  <c r="B36" i="2"/>
  <c r="C32" i="2"/>
  <c r="B5" i="2" s="1"/>
  <c r="C53" i="2"/>
  <c r="B53" i="2"/>
  <c r="B52" i="2"/>
  <c r="C51" i="2"/>
  <c r="B51" i="2"/>
  <c r="B50" i="2"/>
  <c r="C50" i="2" s="1"/>
  <c r="C55" i="2"/>
  <c r="B55" i="2"/>
  <c r="K13" i="2"/>
  <c r="B5" i="3" l="1"/>
  <c r="C5" i="2"/>
  <c r="B7" i="2"/>
  <c r="B7" i="3" s="1"/>
  <c r="I12" i="4"/>
  <c r="D5" i="4"/>
  <c r="C7" i="2"/>
  <c r="K14" i="2"/>
  <c r="K8" i="2"/>
  <c r="B11" i="2"/>
  <c r="D5" i="5"/>
  <c r="E5" i="5" s="1"/>
  <c r="F5" i="5" s="1"/>
  <c r="B6" i="2" l="1"/>
  <c r="B6" i="3" s="1"/>
  <c r="C11" i="2"/>
  <c r="B11" i="3"/>
  <c r="D5" i="2"/>
  <c r="C5" i="3"/>
  <c r="C6" i="2"/>
  <c r="C6" i="3" s="1"/>
  <c r="C7" i="3"/>
  <c r="D6" i="5"/>
  <c r="E6" i="5"/>
  <c r="K22" i="2"/>
  <c r="K19" i="2"/>
  <c r="K20" i="2"/>
  <c r="K18" i="2"/>
  <c r="K15" i="2"/>
  <c r="K12" i="2"/>
  <c r="G4" i="3" l="1"/>
  <c r="G19" i="2"/>
  <c r="G19" i="3" s="1"/>
  <c r="G8" i="2"/>
  <c r="G8" i="3" s="1"/>
  <c r="G12" i="2"/>
  <c r="G12" i="3" s="1"/>
  <c r="G5" i="2"/>
  <c r="G5" i="3" s="1"/>
  <c r="G18" i="2"/>
  <c r="G18" i="3" s="1"/>
  <c r="G14" i="2"/>
  <c r="G14" i="3" s="1"/>
  <c r="G13" i="2"/>
  <c r="G13" i="3" s="1"/>
  <c r="G15" i="2"/>
  <c r="G15" i="3" s="1"/>
  <c r="G20" i="2"/>
  <c r="G17" i="2"/>
  <c r="G17" i="3" s="1"/>
  <c r="D5" i="3"/>
  <c r="D7" i="2"/>
  <c r="D7" i="3" s="1"/>
  <c r="D11" i="2"/>
  <c r="D11" i="3" s="1"/>
  <c r="C11" i="3"/>
  <c r="F6" i="5"/>
  <c r="D7" i="5" s="1"/>
  <c r="G10" i="2"/>
  <c r="G10" i="3" s="1"/>
  <c r="K10" i="2"/>
  <c r="G9" i="2"/>
  <c r="G9" i="3" s="1"/>
  <c r="K9" i="2"/>
  <c r="G7" i="2"/>
  <c r="G7" i="3" s="1"/>
  <c r="K7" i="2"/>
  <c r="G20" i="3" l="1"/>
  <c r="H9" i="2"/>
  <c r="H9" i="3" s="1"/>
  <c r="H4" i="3"/>
  <c r="H20" i="2"/>
  <c r="H22" i="2" s="1"/>
  <c r="H13" i="2"/>
  <c r="H13" i="3" s="1"/>
  <c r="H17" i="2"/>
  <c r="H5" i="2"/>
  <c r="H5" i="3" s="1"/>
  <c r="H18" i="2"/>
  <c r="H12" i="2"/>
  <c r="H12" i="3" s="1"/>
  <c r="H8" i="2"/>
  <c r="H8" i="3" s="1"/>
  <c r="H19" i="2"/>
  <c r="H10" i="2"/>
  <c r="H10" i="3" s="1"/>
  <c r="H7" i="2"/>
  <c r="H7" i="3" s="1"/>
  <c r="I9" i="2"/>
  <c r="I9" i="3" s="1"/>
  <c r="I4" i="3"/>
  <c r="I18" i="2"/>
  <c r="I17" i="2"/>
  <c r="I5" i="2"/>
  <c r="I5" i="3" s="1"/>
  <c r="I13" i="2"/>
  <c r="I13" i="3" s="1"/>
  <c r="I19" i="2"/>
  <c r="I8" i="2"/>
  <c r="I8" i="3" s="1"/>
  <c r="I20" i="2"/>
  <c r="I22" i="2" s="1"/>
  <c r="I10" i="2"/>
  <c r="I10" i="3" s="1"/>
  <c r="I7" i="2"/>
  <c r="I7" i="3" s="1"/>
  <c r="I12" i="2"/>
  <c r="I12" i="3" s="1"/>
  <c r="G6" i="2"/>
  <c r="G6" i="3" s="1"/>
  <c r="D6" i="2"/>
  <c r="D6" i="3" s="1"/>
  <c r="E7" i="5"/>
  <c r="F7" i="5" s="1"/>
  <c r="D8" i="5" s="1"/>
  <c r="E8" i="5" s="1"/>
  <c r="F8" i="5" s="1"/>
  <c r="H16" i="4"/>
  <c r="D9" i="5"/>
  <c r="C27" i="4"/>
  <c r="E9" i="5"/>
  <c r="F9" i="5" s="1"/>
  <c r="D10" i="5" s="1"/>
  <c r="G11" i="2"/>
  <c r="G11" i="3" s="1"/>
  <c r="H15" i="2"/>
  <c r="H14" i="2"/>
  <c r="H14" i="3" s="1"/>
  <c r="I14" i="2"/>
  <c r="I14" i="3" s="1"/>
  <c r="I15" i="2"/>
  <c r="C22" i="6"/>
  <c r="D22" i="6"/>
  <c r="B22" i="6"/>
  <c r="I11" i="2" l="1"/>
  <c r="I11" i="3" s="1"/>
  <c r="I6" i="2"/>
  <c r="I6" i="3" s="1"/>
  <c r="H11" i="2"/>
  <c r="H11" i="3" s="1"/>
  <c r="H6" i="2"/>
  <c r="H6" i="3" s="1"/>
  <c r="G22" i="3"/>
  <c r="B22" i="2"/>
  <c r="C23" i="4"/>
  <c r="C27" i="3"/>
  <c r="H15" i="4"/>
  <c r="H16" i="3"/>
  <c r="E10" i="5"/>
  <c r="F10" i="5" s="1"/>
  <c r="D11" i="5" s="1"/>
  <c r="C22" i="2"/>
  <c r="C17" i="2" s="1"/>
  <c r="D22" i="2"/>
  <c r="D17" i="2" s="1"/>
  <c r="D8" i="6"/>
  <c r="C8" i="6"/>
  <c r="B8" i="6"/>
  <c r="B9" i="6"/>
  <c r="C9" i="6"/>
  <c r="D9" i="6"/>
  <c r="R19" i="6"/>
  <c r="P19" i="6"/>
  <c r="N19" i="6"/>
  <c r="O16" i="6"/>
  <c r="M16" i="6"/>
  <c r="N13" i="6"/>
  <c r="L13" i="6"/>
  <c r="M10" i="6"/>
  <c r="N7" i="6"/>
  <c r="C20" i="6"/>
  <c r="D20" i="6"/>
  <c r="C19" i="6"/>
  <c r="D19" i="6"/>
  <c r="C18" i="6"/>
  <c r="D18" i="6"/>
  <c r="C16" i="6"/>
  <c r="C17" i="6" s="1"/>
  <c r="D16" i="6"/>
  <c r="D17" i="6" s="1"/>
  <c r="C14" i="6"/>
  <c r="C12" i="6"/>
  <c r="D12" i="6"/>
  <c r="C11" i="6"/>
  <c r="D11" i="6"/>
  <c r="C7" i="6"/>
  <c r="D7" i="6"/>
  <c r="I10" i="6"/>
  <c r="C5" i="6"/>
  <c r="D5" i="6"/>
  <c r="C4" i="6"/>
  <c r="D4" i="6"/>
  <c r="H20" i="6"/>
  <c r="F20" i="6"/>
  <c r="J20" i="6"/>
  <c r="B20" i="6"/>
  <c r="B19" i="6"/>
  <c r="B18" i="6"/>
  <c r="B16" i="6"/>
  <c r="B17" i="6" s="1"/>
  <c r="B14" i="6"/>
  <c r="B12" i="6"/>
  <c r="B11" i="6"/>
  <c r="B7" i="6"/>
  <c r="B5" i="6"/>
  <c r="B4" i="6"/>
  <c r="L20" i="6"/>
  <c r="I16" i="6"/>
  <c r="G16" i="6"/>
  <c r="J13" i="6"/>
  <c r="H13" i="6"/>
  <c r="B17" i="2" l="1"/>
  <c r="B17" i="3" s="1"/>
  <c r="B22" i="3"/>
  <c r="L7" i="6"/>
  <c r="B24" i="6"/>
  <c r="D24" i="6" s="1"/>
  <c r="B4" i="2" s="1"/>
  <c r="M4" i="6"/>
  <c r="B25" i="6"/>
  <c r="D25" i="6" s="1"/>
  <c r="H15" i="3"/>
  <c r="H17" i="4"/>
  <c r="E11" i="5"/>
  <c r="F11" i="5" s="1"/>
  <c r="D12" i="5" s="1"/>
  <c r="I16" i="4" s="1"/>
  <c r="C4" i="2" l="1"/>
  <c r="B16" i="2"/>
  <c r="C16" i="2"/>
  <c r="D16" i="2"/>
  <c r="D4" i="2"/>
  <c r="I15" i="4"/>
  <c r="I16" i="3"/>
  <c r="H17" i="3"/>
  <c r="H18" i="4"/>
  <c r="E12" i="5"/>
  <c r="F12" i="5" s="1"/>
  <c r="D10" i="2" l="1"/>
  <c r="D10" i="3" s="1"/>
  <c r="D12" i="2"/>
  <c r="D12" i="3" s="1"/>
  <c r="D14" i="2"/>
  <c r="D23" i="2"/>
  <c r="D25" i="2"/>
  <c r="D25" i="3" s="1"/>
  <c r="D24" i="2"/>
  <c r="D24" i="3" s="1"/>
  <c r="C24" i="2"/>
  <c r="C24" i="3" s="1"/>
  <c r="C25" i="2"/>
  <c r="C25" i="3" s="1"/>
  <c r="C23" i="2"/>
  <c r="C23" i="3" s="1"/>
  <c r="B16" i="3"/>
  <c r="B25" i="2"/>
  <c r="B23" i="2"/>
  <c r="B28" i="2" s="1"/>
  <c r="B28" i="3" s="1"/>
  <c r="B24" i="2"/>
  <c r="B24" i="3" s="1"/>
  <c r="C10" i="2"/>
  <c r="C10" i="3" s="1"/>
  <c r="C12" i="2"/>
  <c r="C12" i="3" s="1"/>
  <c r="C14" i="2"/>
  <c r="B4" i="3"/>
  <c r="B10" i="2"/>
  <c r="B10" i="3" s="1"/>
  <c r="B14" i="2"/>
  <c r="B12" i="2"/>
  <c r="B12" i="3" s="1"/>
  <c r="H18" i="3"/>
  <c r="H19" i="4"/>
  <c r="H19" i="3" s="1"/>
  <c r="H20" i="4"/>
  <c r="I15" i="3"/>
  <c r="I17" i="4"/>
  <c r="D13" i="5"/>
  <c r="D27" i="4"/>
  <c r="C26" i="2"/>
  <c r="C26" i="3" s="1"/>
  <c r="E13" i="5"/>
  <c r="F13" i="5" s="1"/>
  <c r="D14" i="5" s="1"/>
  <c r="D26" i="2" l="1"/>
  <c r="D26" i="3" s="1"/>
  <c r="D28" i="2"/>
  <c r="D28" i="3" s="1"/>
  <c r="C28" i="2"/>
  <c r="C28" i="3" s="1"/>
  <c r="B9" i="2"/>
  <c r="B14" i="3"/>
  <c r="C9" i="2"/>
  <c r="C13" i="2" s="1"/>
  <c r="C14" i="3"/>
  <c r="B23" i="3"/>
  <c r="B26" i="2"/>
  <c r="B26" i="3" s="1"/>
  <c r="C52" i="2"/>
  <c r="B25" i="3"/>
  <c r="D9" i="2"/>
  <c r="D13" i="2" s="1"/>
  <c r="D14" i="3"/>
  <c r="D23" i="4"/>
  <c r="D27" i="3"/>
  <c r="I17" i="3"/>
  <c r="I18" i="4"/>
  <c r="H22" i="4"/>
  <c r="H20" i="3"/>
  <c r="E14" i="5"/>
  <c r="F14" i="5" s="1"/>
  <c r="D15" i="5" s="1"/>
  <c r="B13" i="2" l="1"/>
  <c r="B13" i="3" s="1"/>
  <c r="B9" i="3"/>
  <c r="C22" i="4"/>
  <c r="I18" i="3"/>
  <c r="I19" i="4"/>
  <c r="D23" i="3"/>
  <c r="E15" i="5"/>
  <c r="F15" i="5" s="1"/>
  <c r="I19" i="3" l="1"/>
  <c r="I20" i="4"/>
  <c r="C22" i="3"/>
  <c r="C17" i="4"/>
  <c r="D16" i="5"/>
  <c r="C16" i="5" s="1"/>
  <c r="E16" i="5" s="1"/>
  <c r="F16" i="5" s="1"/>
  <c r="C17" i="3" l="1"/>
  <c r="C16" i="4"/>
  <c r="I22" i="4"/>
  <c r="I22" i="3" s="1"/>
  <c r="I20" i="3"/>
  <c r="D22" i="4"/>
  <c r="D22" i="3" l="1"/>
  <c r="D17" i="4"/>
  <c r="C13" i="4"/>
  <c r="C16" i="3"/>
  <c r="C9" i="4" l="1"/>
  <c r="C13" i="3"/>
  <c r="D17" i="3"/>
  <c r="D16" i="4"/>
  <c r="D13" i="4" l="1"/>
  <c r="D16" i="3"/>
  <c r="C4" i="4"/>
  <c r="C4" i="3" s="1"/>
  <c r="C9" i="3"/>
  <c r="D9" i="4" l="1"/>
  <c r="D13" i="3"/>
  <c r="D4" i="4" l="1"/>
  <c r="D4" i="3" s="1"/>
  <c r="D9" i="3"/>
</calcChain>
</file>

<file path=xl/sharedStrings.xml><?xml version="1.0" encoding="utf-8"?>
<sst xmlns="http://schemas.openxmlformats.org/spreadsheetml/2006/main" count="283" uniqueCount="127">
  <si>
    <t>Balance sheet</t>
  </si>
  <si>
    <t>P&amp;L</t>
  </si>
  <si>
    <t>TOTAL ASSETS</t>
  </si>
  <si>
    <t>Production</t>
  </si>
  <si>
    <t>A. Fixed assets</t>
  </si>
  <si>
    <t>Production revenues</t>
  </si>
  <si>
    <t>A.I. Intangible fixed assets</t>
  </si>
  <si>
    <t>Other revenues</t>
  </si>
  <si>
    <t>A.II. Tangible fixed assets</t>
  </si>
  <si>
    <t>Production related consumption</t>
  </si>
  <si>
    <t>A.III. Long-term financial investment</t>
  </si>
  <si>
    <t>Production expenses</t>
  </si>
  <si>
    <t>B. Current assets</t>
  </si>
  <si>
    <t>B.I. Inventories</t>
  </si>
  <si>
    <t>Amortization and depreciation</t>
  </si>
  <si>
    <t>B.II. Long-term receivables</t>
  </si>
  <si>
    <t>Other expenses</t>
  </si>
  <si>
    <t>B.III. Short-term receivables</t>
  </si>
  <si>
    <t>Profit/loss on operating activities</t>
  </si>
  <si>
    <t>B.IV. Financial assets</t>
  </si>
  <si>
    <t>Value added</t>
  </si>
  <si>
    <t>C. Accruals</t>
  </si>
  <si>
    <t>Financial revenues</t>
  </si>
  <si>
    <t>D. Other Assets</t>
  </si>
  <si>
    <t>Financial expenses</t>
  </si>
  <si>
    <t>TOTAL LIABILITIES</t>
  </si>
  <si>
    <t>Interest expense</t>
  </si>
  <si>
    <t>A. Equity</t>
  </si>
  <si>
    <t>Profit/loss on financial activities</t>
  </si>
  <si>
    <t>A.I. Registered capital</t>
  </si>
  <si>
    <t>Profit/loss before taxation</t>
  </si>
  <si>
    <t>A.II. Capital funds</t>
  </si>
  <si>
    <t>Tax on profit or loss</t>
  </si>
  <si>
    <t>A.III. Funds created from profit</t>
  </si>
  <si>
    <t>Profit/loss after taxation</t>
  </si>
  <si>
    <t>A.IV. Retained earnings</t>
  </si>
  <si>
    <t>Extraordinary profit/loss</t>
  </si>
  <si>
    <t>A.V. Profit/loss</t>
  </si>
  <si>
    <t>Profit/loss for the year</t>
  </si>
  <si>
    <t>B. External liabilities</t>
  </si>
  <si>
    <t>B.I. Reserves</t>
  </si>
  <si>
    <t>B.II. Long-term liabilities</t>
  </si>
  <si>
    <t>B.III. Short-term liabilities</t>
  </si>
  <si>
    <t>B.IV. Bank loans and overdrafts</t>
  </si>
  <si>
    <t>D. Other liabilities</t>
  </si>
  <si>
    <t>helpful ratios</t>
  </si>
  <si>
    <t>type of ratio</t>
  </si>
  <si>
    <t>2018 value</t>
  </si>
  <si>
    <t>median</t>
  </si>
  <si>
    <t>Used ratios in the BS forecast</t>
  </si>
  <si>
    <r>
      <t>A. Fixed assets</t>
    </r>
    <r>
      <rPr>
        <sz val="12"/>
        <color rgb="FFAEAAAA"/>
        <rFont val="Times New Roman"/>
      </rPr>
      <t> </t>
    </r>
  </si>
  <si>
    <t>A.I. Intangible fixed assets </t>
  </si>
  <si>
    <t>A.II. Tangible fixed assets </t>
  </si>
  <si>
    <t xml:space="preserve">A.III. Long-term financial investment </t>
  </si>
  <si>
    <r>
      <t>B. Current assets</t>
    </r>
    <r>
      <rPr>
        <sz val="12"/>
        <color rgb="FFAEAAAA"/>
        <rFont val="Times New Roman"/>
      </rPr>
      <t> </t>
    </r>
  </si>
  <si>
    <t>B.I. Inventories </t>
  </si>
  <si>
    <t>B.II. Long-term receivables </t>
  </si>
  <si>
    <t>B.III. Short-term receivables </t>
  </si>
  <si>
    <t>B.IV. Financial assets </t>
  </si>
  <si>
    <r>
      <t>C. Accruals</t>
    </r>
    <r>
      <rPr>
        <sz val="12"/>
        <color rgb="FFAEAAAA"/>
        <rFont val="Times New Roman"/>
      </rPr>
      <t> </t>
    </r>
  </si>
  <si>
    <r>
      <t>D. Other Assets</t>
    </r>
    <r>
      <rPr>
        <sz val="12"/>
        <color rgb="FFAEAAAA"/>
        <rFont val="Times New Roman"/>
      </rPr>
      <t> </t>
    </r>
  </si>
  <si>
    <r>
      <t>A. Equity</t>
    </r>
    <r>
      <rPr>
        <sz val="12"/>
        <color rgb="FFAEAAAA"/>
        <rFont val="Times New Roman"/>
      </rPr>
      <t> </t>
    </r>
  </si>
  <si>
    <t>A.I. Registered capital </t>
  </si>
  <si>
    <t>A.II. Capital funds </t>
  </si>
  <si>
    <t>A.III. Funds created from profit </t>
  </si>
  <si>
    <t>A.IV. Retained earnings </t>
  </si>
  <si>
    <t>A.V. Profit/loss </t>
  </si>
  <si>
    <r>
      <t>B. External liabilities</t>
    </r>
    <r>
      <rPr>
        <sz val="12"/>
        <color rgb="FFAEAAAA"/>
        <rFont val="Times New Roman"/>
      </rPr>
      <t> </t>
    </r>
  </si>
  <si>
    <t>B.I. Reserves </t>
  </si>
  <si>
    <t>B.II. Long-term liabilities </t>
  </si>
  <si>
    <t>B.III. Short-term liabilities </t>
  </si>
  <si>
    <t>B.IV. Bank loans and overdrafts </t>
  </si>
  <si>
    <r>
      <t>D. Other liabilities</t>
    </r>
    <r>
      <rPr>
        <sz val="12"/>
        <color rgb="FFAEAAAA"/>
        <rFont val="Times New Roman"/>
      </rPr>
      <t> </t>
    </r>
  </si>
  <si>
    <t>Loan repayment</t>
  </si>
  <si>
    <t>Number</t>
  </si>
  <si>
    <t>Date</t>
  </si>
  <si>
    <t>Payment</t>
  </si>
  <si>
    <t>Interest</t>
  </si>
  <si>
    <t>Principal</t>
  </si>
  <si>
    <t>Principal Remaining</t>
  </si>
  <si>
    <t>Ratio analysis</t>
  </si>
  <si>
    <t>Du Pont Diagram of 2018</t>
  </si>
  <si>
    <t>Profitability Ratios</t>
  </si>
  <si>
    <t>ROE</t>
  </si>
  <si>
    <t>Return on Assets (RoA)</t>
  </si>
  <si>
    <t>Return on Equity (RoE)</t>
  </si>
  <si>
    <t>Net Profit Margin (RoS)</t>
  </si>
  <si>
    <t>ROA</t>
  </si>
  <si>
    <t>*</t>
  </si>
  <si>
    <t>Assets/Capital</t>
  </si>
  <si>
    <t>Return on Capital Employed</t>
  </si>
  <si>
    <t>Operating Profit Margin</t>
  </si>
  <si>
    <t>Gross Profit Margin</t>
  </si>
  <si>
    <t>ROS</t>
  </si>
  <si>
    <t>Revenues/Assets</t>
  </si>
  <si>
    <t>Debt Ratios</t>
  </si>
  <si>
    <t>Debt/Equity</t>
  </si>
  <si>
    <t>Equity Ratio</t>
  </si>
  <si>
    <t>Net profit</t>
  </si>
  <si>
    <t>/</t>
  </si>
  <si>
    <t>Revenues</t>
  </si>
  <si>
    <t>Assets</t>
  </si>
  <si>
    <t>Debt Ratio</t>
  </si>
  <si>
    <t>Interest coverage</t>
  </si>
  <si>
    <t>Liquidity Ratios</t>
  </si>
  <si>
    <t>-</t>
  </si>
  <si>
    <t>Expenses</t>
  </si>
  <si>
    <t>Fixed A.</t>
  </si>
  <si>
    <t>+</t>
  </si>
  <si>
    <t>Current A.</t>
  </si>
  <si>
    <t>Working Capital</t>
  </si>
  <si>
    <t>Working Capital to Total Assets</t>
  </si>
  <si>
    <t>Current Ratio</t>
  </si>
  <si>
    <t>Inventories</t>
  </si>
  <si>
    <t>Receivables</t>
  </si>
  <si>
    <t>Financial A.</t>
  </si>
  <si>
    <t>Cash Ratio</t>
  </si>
  <si>
    <t>Depriciation</t>
  </si>
  <si>
    <t>Tax</t>
  </si>
  <si>
    <t>Other exp.</t>
  </si>
  <si>
    <t>Quick Ratio</t>
  </si>
  <si>
    <t>Leverage</t>
  </si>
  <si>
    <t>Averaged increase RoA</t>
  </si>
  <si>
    <t>RoA in 2019</t>
  </si>
  <si>
    <t>Averaged increase RoE</t>
  </si>
  <si>
    <t>RoE in 2019</t>
  </si>
  <si>
    <t>Personnel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</si>
</sst>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Kč&quot;;[Red]\-#,##0.00\ &quot;Kč&quot;"/>
    <numFmt numFmtId="43" formatCode="_-* #,##0.00\ _K_č_-;\-* #,##0.00\ _K_č_-;_-* &quot;-&quot;??\ _K_č_-;_-@_-"/>
    <numFmt numFmtId="164" formatCode="??,???,??0"/>
    <numFmt numFmtId="165" formatCode="0.000%"/>
    <numFmt numFmtId="166" formatCode="0.0000%"/>
    <numFmt numFmtId="167" formatCode="_-* #,##0.00\ [$€-1]_-;\-* #,##0.00\ [$€-1]_-;_-* &quot;-&quot;??\ [$€-1]_-;_-@_-"/>
    <numFmt numFmtId="168" formatCode="0.000"/>
    <numFmt numFmtId="169" formatCode="0.000E+00"/>
    <numFmt numFmtId="170" formatCode="_-* #,##0\ _K_č_-;\-* #,##0\ _K_č_-;_-* &quot;-&quot;??\ _K_č_-;_-@_-"/>
  </numFmts>
  <fonts count="4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charset val="1"/>
    </font>
    <font>
      <b/>
      <sz val="11"/>
      <color rgb="FF000000"/>
      <name val="Times New Roman"/>
      <charset val="1"/>
    </font>
    <font>
      <sz val="12"/>
      <color rgb="FF000000"/>
      <name val="Times New Roman"/>
      <charset val="1"/>
    </font>
    <font>
      <sz val="11"/>
      <color rgb="FF000000"/>
      <name val="Times New Roman"/>
      <charset val="1"/>
    </font>
    <font>
      <sz val="12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1"/>
      <color theme="1"/>
      <name val="Times New Roman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charset val="1"/>
    </font>
    <font>
      <b/>
      <sz val="11"/>
      <color rgb="FFFFFFFF"/>
      <name val="Times New Roman"/>
      <charset val="1"/>
    </font>
    <font>
      <sz val="12"/>
      <color rgb="FF444444"/>
      <name val="Times New Roman"/>
    </font>
    <font>
      <sz val="11"/>
      <color rgb="FF444444"/>
      <name val="Calibri"/>
      <charset val="1"/>
    </font>
    <font>
      <b/>
      <sz val="12"/>
      <color rgb="FFFFFFFF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2"/>
      <color rgb="FFFFFFFF"/>
      <name val="Times New Roman"/>
      <family val="1"/>
    </font>
    <font>
      <sz val="12"/>
      <color rgb="FFD9D9D9"/>
      <name val="Times New Roman"/>
      <family val="1"/>
    </font>
    <font>
      <sz val="12"/>
      <color rgb="FFD9D9D9"/>
      <name val="Times New Roman"/>
      <family val="1"/>
      <charset val="238"/>
    </font>
    <font>
      <sz val="12"/>
      <color rgb="FFAEAAAA"/>
      <name val="Times New Roman"/>
    </font>
    <font>
      <sz val="12"/>
      <color rgb="FFAEAAAA"/>
      <name val="Times New Roman"/>
      <family val="1"/>
      <charset val="238"/>
    </font>
    <font>
      <b/>
      <sz val="12"/>
      <color rgb="FFAEAAAA"/>
      <name val="Times New Roman"/>
    </font>
    <font>
      <b/>
      <sz val="11"/>
      <color rgb="FFAEAAAA"/>
      <name val="Times New Roman"/>
      <charset val="1"/>
    </font>
    <font>
      <sz val="12"/>
      <color rgb="FFAEAAAA"/>
      <name val="Times New Roman"/>
      <family val="1"/>
    </font>
    <font>
      <sz val="11"/>
      <color rgb="FFAEAAAA"/>
      <name val="Times New Roman"/>
      <charset val="1"/>
    </font>
    <font>
      <b/>
      <sz val="12"/>
      <color rgb="FFAEAAAA"/>
      <name val="Times New Roman"/>
      <charset val="1"/>
    </font>
    <font>
      <b/>
      <sz val="12"/>
      <color rgb="FFAEAAAA"/>
      <name val="Times New Roman"/>
      <family val="1"/>
      <charset val="238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464D8"/>
        <bgColor indexed="64"/>
      </patternFill>
    </fill>
  </fills>
  <borders count="8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rgb="FFCCCCC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indexed="64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AEAAAA"/>
      </left>
      <right/>
      <top/>
      <bottom/>
      <diagonal/>
    </border>
    <border>
      <left style="thin">
        <color rgb="FFAEAAAA"/>
      </left>
      <right style="thin">
        <color theme="0" tint="-0.249977111117893"/>
      </right>
      <top style="thin">
        <color rgb="FFAEAAAA"/>
      </top>
      <bottom style="thin">
        <color rgb="FFAEAAAA"/>
      </bottom>
      <diagonal/>
    </border>
    <border>
      <left/>
      <right/>
      <top/>
      <bottom style="thin">
        <color rgb="FFAEAAAA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3"/>
    </xf>
    <xf numFmtId="0" fontId="6" fillId="0" borderId="1" xfId="0" applyFont="1" applyBorder="1" applyAlignment="1">
      <alignment horizontal="left" vertical="center" wrapText="1" indent="3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3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5" fontId="1" fillId="0" borderId="9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10" xfId="1" applyNumberFormat="1" applyFont="1" applyBorder="1" applyAlignment="1">
      <alignment horizontal="center" vertical="center"/>
    </xf>
    <xf numFmtId="165" fontId="1" fillId="0" borderId="19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 indent="1"/>
    </xf>
    <xf numFmtId="0" fontId="6" fillId="0" borderId="31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5" fillId="0" borderId="42" xfId="0" applyFont="1" applyBorder="1" applyAlignment="1">
      <alignment horizontal="left" vertical="center" wrapText="1" indent="1"/>
    </xf>
    <xf numFmtId="165" fontId="1" fillId="0" borderId="11" xfId="1" applyNumberFormat="1" applyFont="1" applyBorder="1" applyAlignment="1">
      <alignment horizontal="center" vertical="center"/>
    </xf>
    <xf numFmtId="165" fontId="1" fillId="0" borderId="15" xfId="1" applyNumberFormat="1" applyFont="1" applyBorder="1" applyAlignment="1">
      <alignment horizontal="center" vertical="center"/>
    </xf>
    <xf numFmtId="165" fontId="1" fillId="0" borderId="12" xfId="1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wrapText="1"/>
    </xf>
    <xf numFmtId="165" fontId="1" fillId="0" borderId="45" xfId="1" applyNumberFormat="1" applyFont="1" applyBorder="1" applyAlignment="1">
      <alignment horizontal="center" vertical="center"/>
    </xf>
    <xf numFmtId="165" fontId="1" fillId="0" borderId="46" xfId="1" applyNumberFormat="1" applyFont="1" applyBorder="1" applyAlignment="1">
      <alignment horizontal="center" vertical="center"/>
    </xf>
    <xf numFmtId="165" fontId="1" fillId="0" borderId="47" xfId="1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48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0" fillId="2" borderId="5" xfId="0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1" fillId="0" borderId="52" xfId="0" applyFont="1" applyBorder="1" applyAlignment="1">
      <alignment vertical="center"/>
    </xf>
    <xf numFmtId="165" fontId="1" fillId="0" borderId="52" xfId="0" applyNumberFormat="1" applyFont="1" applyBorder="1" applyAlignment="1">
      <alignment horizontal="center" vertical="center"/>
    </xf>
    <xf numFmtId="165" fontId="1" fillId="0" borderId="52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168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9" fontId="2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8" fontId="1" fillId="0" borderId="0" xfId="0" applyNumberFormat="1" applyFont="1" applyBorder="1"/>
    <xf numFmtId="0" fontId="2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31" fillId="0" borderId="53" xfId="0" applyFont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10" fontId="33" fillId="0" borderId="53" xfId="0" applyNumberFormat="1" applyFont="1" applyBorder="1" applyAlignment="1">
      <alignment vertical="center"/>
    </xf>
    <xf numFmtId="0" fontId="33" fillId="0" borderId="53" xfId="0" applyFont="1" applyBorder="1" applyAlignment="1">
      <alignment horizontal="center" vertical="center"/>
    </xf>
    <xf numFmtId="9" fontId="36" fillId="0" borderId="53" xfId="0" applyNumberFormat="1" applyFont="1" applyBorder="1" applyAlignment="1">
      <alignment vertical="center"/>
    </xf>
    <xf numFmtId="165" fontId="33" fillId="0" borderId="53" xfId="0" applyNumberFormat="1" applyFont="1" applyBorder="1" applyAlignment="1">
      <alignment vertical="center"/>
    </xf>
    <xf numFmtId="0" fontId="3" fillId="0" borderId="48" xfId="0" applyFont="1" applyBorder="1" applyAlignment="1">
      <alignment horizontal="center" vertical="center" wrapText="1"/>
    </xf>
    <xf numFmtId="167" fontId="1" fillId="0" borderId="56" xfId="0" applyNumberFormat="1" applyFont="1" applyBorder="1"/>
    <xf numFmtId="167" fontId="1" fillId="0" borderId="57" xfId="0" applyNumberFormat="1" applyFont="1" applyBorder="1"/>
    <xf numFmtId="167" fontId="21" fillId="0" borderId="57" xfId="0" applyNumberFormat="1" applyFont="1" applyBorder="1"/>
    <xf numFmtId="167" fontId="21" fillId="0" borderId="58" xfId="0" applyNumberFormat="1" applyFont="1" applyBorder="1"/>
    <xf numFmtId="0" fontId="1" fillId="0" borderId="59" xfId="0" applyFont="1" applyBorder="1"/>
    <xf numFmtId="167" fontId="1" fillId="0" borderId="51" xfId="0" applyNumberFormat="1" applyFont="1" applyBorder="1"/>
    <xf numFmtId="167" fontId="21" fillId="0" borderId="51" xfId="0" applyNumberFormat="1" applyFont="1" applyBorder="1"/>
    <xf numFmtId="0" fontId="1" fillId="0" borderId="60" xfId="0" applyFont="1" applyBorder="1"/>
    <xf numFmtId="167" fontId="1" fillId="0" borderId="61" xfId="0" applyNumberFormat="1" applyFont="1" applyBorder="1"/>
    <xf numFmtId="167" fontId="21" fillId="0" borderId="61" xfId="0" applyNumberFormat="1" applyFont="1" applyBorder="1"/>
    <xf numFmtId="167" fontId="21" fillId="0" borderId="62" xfId="0" applyNumberFormat="1" applyFont="1" applyBorder="1"/>
    <xf numFmtId="167" fontId="21" fillId="0" borderId="73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5" fillId="0" borderId="34" xfId="0" applyNumberFormat="1" applyFont="1" applyBorder="1" applyAlignment="1">
      <alignment horizontal="right" vertical="center" wrapText="1" indent="2"/>
    </xf>
    <xf numFmtId="3" fontId="5" fillId="0" borderId="28" xfId="0" applyNumberFormat="1" applyFont="1" applyBorder="1" applyAlignment="1">
      <alignment horizontal="right" vertical="center" wrapText="1" indent="2"/>
    </xf>
    <xf numFmtId="3" fontId="5" fillId="0" borderId="35" xfId="0" applyNumberFormat="1" applyFont="1" applyBorder="1" applyAlignment="1">
      <alignment horizontal="right" vertical="center" wrapText="1" indent="2"/>
    </xf>
    <xf numFmtId="3" fontId="6" fillId="0" borderId="36" xfId="0" applyNumberFormat="1" applyFont="1" applyBorder="1" applyAlignment="1">
      <alignment horizontal="right" vertical="center" wrapText="1" indent="2"/>
    </xf>
    <xf numFmtId="3" fontId="6" fillId="0" borderId="29" xfId="0" applyNumberFormat="1" applyFont="1" applyBorder="1" applyAlignment="1">
      <alignment horizontal="right" vertical="center" wrapText="1" indent="2"/>
    </xf>
    <xf numFmtId="3" fontId="6" fillId="0" borderId="37" xfId="0" applyNumberFormat="1" applyFont="1" applyBorder="1" applyAlignment="1">
      <alignment horizontal="right" vertical="center" wrapText="1" indent="2"/>
    </xf>
    <xf numFmtId="3" fontId="6" fillId="0" borderId="34" xfId="0" applyNumberFormat="1" applyFont="1" applyBorder="1" applyAlignment="1">
      <alignment horizontal="right" vertical="center" wrapText="1" indent="2"/>
    </xf>
    <xf numFmtId="3" fontId="6" fillId="0" borderId="28" xfId="0" applyNumberFormat="1" applyFont="1" applyBorder="1" applyAlignment="1">
      <alignment horizontal="right" vertical="center" wrapText="1" indent="2"/>
    </xf>
    <xf numFmtId="3" fontId="6" fillId="0" borderId="35" xfId="0" applyNumberFormat="1" applyFont="1" applyBorder="1" applyAlignment="1">
      <alignment horizontal="right" vertical="center" wrapText="1" indent="2"/>
    </xf>
    <xf numFmtId="3" fontId="20" fillId="0" borderId="37" xfId="0" applyNumberFormat="1" applyFont="1" applyBorder="1" applyAlignment="1">
      <alignment horizontal="right" vertical="center" wrapText="1" indent="2"/>
    </xf>
    <xf numFmtId="3" fontId="5" fillId="0" borderId="38" xfId="0" applyNumberFormat="1" applyFont="1" applyBorder="1" applyAlignment="1">
      <alignment horizontal="right" vertical="center" wrapText="1" indent="2"/>
    </xf>
    <xf numFmtId="3" fontId="5" fillId="0" borderId="39" xfId="0" applyNumberFormat="1" applyFont="1" applyBorder="1" applyAlignment="1">
      <alignment horizontal="right" vertical="center" wrapText="1" indent="2"/>
    </xf>
    <xf numFmtId="3" fontId="5" fillId="0" borderId="40" xfId="0" applyNumberFormat="1" applyFont="1" applyBorder="1" applyAlignment="1">
      <alignment horizontal="right" vertical="center" wrapText="1" indent="2"/>
    </xf>
    <xf numFmtId="10" fontId="32" fillId="0" borderId="53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10" fontId="25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10" fontId="13" fillId="0" borderId="0" xfId="0" applyNumberFormat="1" applyFont="1" applyBorder="1" applyAlignment="1">
      <alignment vertical="center" wrapText="1"/>
    </xf>
    <xf numFmtId="4" fontId="12" fillId="0" borderId="0" xfId="0" applyNumberFormat="1" applyFont="1" applyBorder="1" applyAlignment="1">
      <alignment vertical="center" wrapText="1"/>
    </xf>
    <xf numFmtId="2" fontId="13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10" fontId="11" fillId="0" borderId="0" xfId="0" applyNumberFormat="1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4" fillId="0" borderId="53" xfId="0" applyFont="1" applyFill="1" applyBorder="1" applyAlignment="1">
      <alignment horizontal="left" vertical="center" wrapText="1"/>
    </xf>
    <xf numFmtId="9" fontId="34" fillId="0" borderId="53" xfId="0" applyNumberFormat="1" applyFont="1" applyFill="1" applyBorder="1" applyAlignment="1">
      <alignment horizontal="left" vertical="center" wrapText="1"/>
    </xf>
    <xf numFmtId="0" fontId="35" fillId="0" borderId="53" xfId="0" applyFont="1" applyFill="1" applyBorder="1" applyAlignment="1">
      <alignment horizontal="right" vertical="center" wrapText="1"/>
    </xf>
    <xf numFmtId="0" fontId="34" fillId="0" borderId="53" xfId="0" applyFont="1" applyBorder="1" applyAlignment="1">
      <alignment horizontal="left" vertical="center" wrapText="1"/>
    </xf>
    <xf numFmtId="165" fontId="34" fillId="0" borderId="53" xfId="0" applyNumberFormat="1" applyFont="1" applyBorder="1" applyAlignment="1">
      <alignment horizontal="right" vertical="center" wrapText="1"/>
    </xf>
    <xf numFmtId="2" fontId="34" fillId="0" borderId="53" xfId="0" applyNumberFormat="1" applyFont="1" applyBorder="1" applyAlignment="1">
      <alignment horizontal="right" vertical="center" wrapText="1"/>
    </xf>
    <xf numFmtId="0" fontId="32" fillId="0" borderId="53" xfId="0" applyFont="1" applyBorder="1" applyAlignment="1">
      <alignment horizontal="left" vertical="center" wrapText="1"/>
    </xf>
    <xf numFmtId="165" fontId="32" fillId="0" borderId="53" xfId="0" applyNumberFormat="1" applyFont="1" applyBorder="1" applyAlignment="1">
      <alignment horizontal="right" vertical="center"/>
    </xf>
    <xf numFmtId="165" fontId="32" fillId="0" borderId="53" xfId="0" applyNumberFormat="1" applyFont="1" applyBorder="1" applyAlignment="1">
      <alignment horizontal="right" vertical="center" wrapText="1"/>
    </xf>
    <xf numFmtId="165" fontId="12" fillId="0" borderId="0" xfId="0" applyNumberFormat="1" applyFont="1" applyBorder="1" applyAlignment="1">
      <alignment vertical="center" wrapText="1"/>
    </xf>
    <xf numFmtId="2" fontId="10" fillId="0" borderId="0" xfId="0" applyNumberFormat="1" applyFont="1" applyBorder="1" applyAlignment="1">
      <alignment vertical="center" wrapText="1"/>
    </xf>
    <xf numFmtId="10" fontId="12" fillId="0" borderId="0" xfId="0" applyNumberFormat="1" applyFont="1" applyBorder="1" applyAlignment="1">
      <alignment vertical="center" wrapText="1"/>
    </xf>
    <xf numFmtId="10" fontId="11" fillId="0" borderId="0" xfId="0" quotePrefix="1" applyNumberFormat="1" applyFont="1" applyBorder="1" applyAlignment="1">
      <alignment vertical="center" wrapText="1"/>
    </xf>
    <xf numFmtId="10" fontId="10" fillId="0" borderId="0" xfId="0" applyNumberFormat="1" applyFont="1" applyBorder="1" applyAlignment="1">
      <alignment vertical="center" wrapText="1"/>
    </xf>
    <xf numFmtId="166" fontId="11" fillId="0" borderId="0" xfId="0" applyNumberFormat="1" applyFont="1" applyBorder="1" applyAlignment="1">
      <alignment vertical="center" wrapText="1"/>
    </xf>
    <xf numFmtId="165" fontId="11" fillId="0" borderId="0" xfId="0" applyNumberFormat="1" applyFont="1" applyBorder="1" applyAlignment="1">
      <alignment vertical="center" wrapText="1"/>
    </xf>
    <xf numFmtId="0" fontId="38" fillId="2" borderId="53" xfId="0" applyFont="1" applyFill="1" applyBorder="1" applyAlignment="1">
      <alignment vertical="center" wrapText="1"/>
    </xf>
    <xf numFmtId="2" fontId="35" fillId="2" borderId="53" xfId="0" applyNumberFormat="1" applyFont="1" applyFill="1" applyBorder="1" applyAlignment="1">
      <alignment horizontal="center" vertical="center" wrapText="1"/>
    </xf>
    <xf numFmtId="2" fontId="35" fillId="0" borderId="53" xfId="0" applyNumberFormat="1" applyFont="1" applyFill="1" applyBorder="1" applyAlignment="1">
      <alignment horizontal="center" vertical="center" wrapText="1"/>
    </xf>
    <xf numFmtId="0" fontId="34" fillId="0" borderId="53" xfId="0" applyFont="1" applyBorder="1" applyAlignment="1">
      <alignment vertical="center" wrapText="1"/>
    </xf>
    <xf numFmtId="10" fontId="34" fillId="0" borderId="53" xfId="0" applyNumberFormat="1" applyFont="1" applyBorder="1" applyAlignment="1">
      <alignment horizontal="center" vertical="center" wrapText="1"/>
    </xf>
    <xf numFmtId="2" fontId="34" fillId="0" borderId="53" xfId="0" applyNumberFormat="1" applyFont="1" applyBorder="1" applyAlignment="1">
      <alignment horizontal="center" vertical="center" wrapText="1"/>
    </xf>
    <xf numFmtId="0" fontId="32" fillId="0" borderId="53" xfId="0" applyFont="1" applyBorder="1" applyAlignment="1">
      <alignment vertical="center" wrapText="1"/>
    </xf>
    <xf numFmtId="2" fontId="32" fillId="0" borderId="53" xfId="0" applyNumberFormat="1" applyFont="1" applyBorder="1" applyAlignment="1">
      <alignment horizontal="center" vertical="center" wrapText="1"/>
    </xf>
    <xf numFmtId="10" fontId="34" fillId="0" borderId="53" xfId="0" applyNumberFormat="1" applyFont="1" applyBorder="1" applyAlignment="1">
      <alignment horizontal="right" vertical="center" wrapText="1"/>
    </xf>
    <xf numFmtId="165" fontId="32" fillId="0" borderId="53" xfId="0" applyNumberFormat="1" applyFont="1" applyBorder="1" applyAlignment="1">
      <alignment vertical="center"/>
    </xf>
    <xf numFmtId="10" fontId="24" fillId="0" borderId="0" xfId="0" applyNumberFormat="1" applyFont="1" applyAlignment="1">
      <alignment vertical="center"/>
    </xf>
    <xf numFmtId="43" fontId="5" fillId="0" borderId="1" xfId="2" applyFont="1" applyBorder="1" applyAlignment="1">
      <alignment horizontal="right" vertical="center" wrapText="1"/>
    </xf>
    <xf numFmtId="43" fontId="6" fillId="0" borderId="1" xfId="2" applyFont="1" applyBorder="1" applyAlignment="1">
      <alignment horizontal="right" vertical="center" wrapText="1"/>
    </xf>
    <xf numFmtId="170" fontId="5" fillId="0" borderId="1" xfId="2" applyNumberFormat="1" applyFont="1" applyBorder="1" applyAlignment="1">
      <alignment horizontal="right" vertical="center" wrapText="1"/>
    </xf>
    <xf numFmtId="170" fontId="6" fillId="0" borderId="3" xfId="2" applyNumberFormat="1" applyFont="1" applyBorder="1" applyAlignment="1">
      <alignment horizontal="right" vertical="center" wrapText="1"/>
    </xf>
    <xf numFmtId="170" fontId="6" fillId="0" borderId="1" xfId="2" applyNumberFormat="1" applyFont="1" applyBorder="1" applyAlignment="1">
      <alignment horizontal="right" vertical="center" wrapText="1"/>
    </xf>
    <xf numFmtId="43" fontId="5" fillId="0" borderId="3" xfId="2" applyFont="1" applyBorder="1" applyAlignment="1">
      <alignment horizontal="right" vertical="center" wrapText="1"/>
    </xf>
    <xf numFmtId="43" fontId="3" fillId="0" borderId="1" xfId="2" applyFont="1" applyBorder="1" applyAlignment="1">
      <alignment horizontal="right" vertical="center" wrapText="1"/>
    </xf>
    <xf numFmtId="170" fontId="5" fillId="0" borderId="3" xfId="2" applyNumberFormat="1" applyFont="1" applyBorder="1" applyAlignment="1">
      <alignment horizontal="right" vertical="center" wrapText="1"/>
    </xf>
    <xf numFmtId="4" fontId="40" fillId="0" borderId="31" xfId="2" applyNumberFormat="1" applyFont="1" applyBorder="1" applyAlignment="1">
      <alignment horizontal="right"/>
    </xf>
    <xf numFmtId="4" fontId="40" fillId="0" borderId="64" xfId="2" applyNumberFormat="1" applyFont="1" applyBorder="1" applyAlignment="1">
      <alignment horizontal="right"/>
    </xf>
    <xf numFmtId="4" fontId="40" fillId="0" borderId="3" xfId="2" applyNumberFormat="1" applyFont="1" applyBorder="1" applyAlignment="1"/>
    <xf numFmtId="4" fontId="28" fillId="0" borderId="54" xfId="2" applyNumberFormat="1" applyFont="1" applyBorder="1" applyAlignment="1">
      <alignment horizontal="right"/>
    </xf>
    <xf numFmtId="4" fontId="28" fillId="0" borderId="63" xfId="2" applyNumberFormat="1" applyFont="1" applyBorder="1" applyAlignment="1">
      <alignment horizontal="right"/>
    </xf>
    <xf numFmtId="4" fontId="28" fillId="0" borderId="55" xfId="2" applyNumberFormat="1" applyFont="1" applyBorder="1" applyAlignment="1">
      <alignment horizontal="right"/>
    </xf>
    <xf numFmtId="4" fontId="28" fillId="0" borderId="31" xfId="2" applyNumberFormat="1" applyFont="1" applyBorder="1" applyAlignment="1">
      <alignment horizontal="right"/>
    </xf>
    <xf numFmtId="4" fontId="28" fillId="0" borderId="64" xfId="2" applyNumberFormat="1" applyFont="1" applyBorder="1" applyAlignment="1">
      <alignment horizontal="right"/>
    </xf>
    <xf numFmtId="4" fontId="28" fillId="0" borderId="3" xfId="2" applyNumberFormat="1" applyFont="1" applyBorder="1" applyAlignment="1"/>
    <xf numFmtId="4" fontId="28" fillId="0" borderId="30" xfId="2" applyNumberFormat="1" applyFont="1" applyBorder="1" applyAlignment="1">
      <alignment horizontal="right"/>
    </xf>
    <xf numFmtId="4" fontId="28" fillId="0" borderId="65" xfId="2" applyNumberFormat="1" applyFont="1" applyBorder="1" applyAlignment="1">
      <alignment horizontal="right"/>
    </xf>
    <xf numFmtId="4" fontId="28" fillId="0" borderId="1" xfId="2" applyNumberFormat="1" applyFont="1" applyBorder="1" applyAlignment="1">
      <alignment horizontal="right"/>
    </xf>
    <xf numFmtId="4" fontId="40" fillId="0" borderId="3" xfId="2" applyNumberFormat="1" applyFont="1" applyBorder="1" applyAlignment="1">
      <alignment horizontal="right"/>
    </xf>
    <xf numFmtId="4" fontId="28" fillId="0" borderId="3" xfId="2" applyNumberFormat="1" applyFont="1" applyBorder="1" applyAlignment="1">
      <alignment horizontal="right"/>
    </xf>
    <xf numFmtId="4" fontId="40" fillId="0" borderId="45" xfId="2" applyNumberFormat="1" applyFont="1" applyBorder="1" applyAlignment="1">
      <alignment horizontal="right"/>
    </xf>
    <xf numFmtId="4" fontId="40" fillId="0" borderId="46" xfId="2" applyNumberFormat="1" applyFont="1" applyBorder="1" applyAlignment="1">
      <alignment horizontal="right"/>
    </xf>
    <xf numFmtId="4" fontId="40" fillId="0" borderId="47" xfId="2" applyNumberFormat="1" applyFont="1" applyBorder="1" applyAlignment="1">
      <alignment horizontal="right"/>
    </xf>
    <xf numFmtId="4" fontId="40" fillId="0" borderId="30" xfId="2" applyNumberFormat="1" applyFont="1" applyBorder="1" applyAlignment="1">
      <alignment horizontal="right"/>
    </xf>
    <xf numFmtId="4" fontId="40" fillId="0" borderId="65" xfId="2" applyNumberFormat="1" applyFont="1" applyBorder="1" applyAlignment="1">
      <alignment horizontal="right"/>
    </xf>
    <xf numFmtId="4" fontId="40" fillId="0" borderId="1" xfId="2" applyNumberFormat="1" applyFont="1" applyBorder="1" applyAlignment="1">
      <alignment horizontal="right"/>
    </xf>
    <xf numFmtId="4" fontId="5" fillId="0" borderId="54" xfId="0" applyNumberFormat="1" applyFont="1" applyBorder="1" applyAlignment="1">
      <alignment horizontal="right" vertical="center" wrapText="1"/>
    </xf>
    <xf numFmtId="4" fontId="5" fillId="0" borderId="63" xfId="0" applyNumberFormat="1" applyFont="1" applyBorder="1" applyAlignment="1">
      <alignment horizontal="right" vertical="center" wrapText="1"/>
    </xf>
    <xf numFmtId="4" fontId="5" fillId="0" borderId="55" xfId="0" applyNumberFormat="1" applyFont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4" fontId="5" fillId="0" borderId="64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45" xfId="0" applyNumberFormat="1" applyFont="1" applyBorder="1" applyAlignment="1">
      <alignment horizontal="right" vertical="center" wrapText="1"/>
    </xf>
    <xf numFmtId="4" fontId="5" fillId="0" borderId="46" xfId="0" applyNumberFormat="1" applyFont="1" applyBorder="1" applyAlignment="1">
      <alignment horizontal="right" vertical="center" wrapText="1"/>
    </xf>
    <xf numFmtId="4" fontId="5" fillId="0" borderId="47" xfId="0" applyNumberFormat="1" applyFont="1" applyBorder="1" applyAlignment="1">
      <alignment horizontal="right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2" fontId="1" fillId="0" borderId="19" xfId="1" applyNumberFormat="1" applyFont="1" applyBorder="1" applyAlignment="1">
      <alignment horizontal="center" vertical="center"/>
    </xf>
    <xf numFmtId="165" fontId="1" fillId="0" borderId="8" xfId="1" applyNumberFormat="1" applyFont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 vertical="center"/>
    </xf>
    <xf numFmtId="165" fontId="1" fillId="0" borderId="48" xfId="1" applyNumberFormat="1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43" fontId="5" fillId="0" borderId="5" xfId="2" applyFont="1" applyBorder="1" applyAlignment="1">
      <alignment horizontal="right" vertical="center" wrapText="1"/>
    </xf>
    <xf numFmtId="43" fontId="6" fillId="0" borderId="0" xfId="2" applyFont="1" applyBorder="1" applyAlignment="1">
      <alignment horizontal="right" vertical="center" wrapText="1"/>
    </xf>
    <xf numFmtId="43" fontId="6" fillId="0" borderId="5" xfId="2" applyFont="1" applyBorder="1" applyAlignment="1">
      <alignment horizontal="right" vertical="center" wrapText="1"/>
    </xf>
    <xf numFmtId="43" fontId="5" fillId="0" borderId="77" xfId="2" applyFont="1" applyBorder="1" applyAlignment="1">
      <alignment horizontal="right" vertical="center" wrapText="1"/>
    </xf>
    <xf numFmtId="43" fontId="6" fillId="0" borderId="77" xfId="2" applyFont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16" fillId="2" borderId="14" xfId="2" quotePrefix="1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 readingOrder="1"/>
    </xf>
    <xf numFmtId="43" fontId="5" fillId="0" borderId="0" xfId="2" applyFont="1" applyBorder="1" applyAlignment="1">
      <alignment horizontal="right" vertical="center" wrapText="1"/>
    </xf>
    <xf numFmtId="43" fontId="5" fillId="0" borderId="14" xfId="2" applyFont="1" applyBorder="1" applyAlignment="1">
      <alignment horizontal="right" vertical="center" wrapText="1"/>
    </xf>
    <xf numFmtId="170" fontId="5" fillId="0" borderId="5" xfId="2" applyNumberFormat="1" applyFont="1" applyBorder="1" applyAlignment="1">
      <alignment horizontal="right" vertical="center" wrapText="1"/>
    </xf>
    <xf numFmtId="170" fontId="6" fillId="0" borderId="0" xfId="2" applyNumberFormat="1" applyFont="1" applyBorder="1" applyAlignment="1">
      <alignment horizontal="right" vertical="center" wrapText="1"/>
    </xf>
    <xf numFmtId="170" fontId="6" fillId="0" borderId="5" xfId="2" applyNumberFormat="1" applyFont="1" applyBorder="1" applyAlignment="1">
      <alignment horizontal="right" vertical="center" wrapText="1"/>
    </xf>
    <xf numFmtId="170" fontId="5" fillId="0" borderId="77" xfId="2" applyNumberFormat="1" applyFont="1" applyBorder="1" applyAlignment="1">
      <alignment horizontal="right" vertical="center" wrapText="1"/>
    </xf>
    <xf numFmtId="170" fontId="6" fillId="0" borderId="14" xfId="2" applyNumberFormat="1" applyFont="1" applyBorder="1" applyAlignment="1">
      <alignment horizontal="right" vertical="center" wrapText="1"/>
    </xf>
    <xf numFmtId="170" fontId="6" fillId="0" borderId="77" xfId="2" applyNumberFormat="1" applyFont="1" applyBorder="1" applyAlignment="1">
      <alignment horizontal="right" vertical="center" wrapText="1"/>
    </xf>
    <xf numFmtId="170" fontId="20" fillId="0" borderId="77" xfId="2" applyNumberFormat="1" applyFont="1" applyBorder="1" applyAlignment="1">
      <alignment horizontal="right" vertical="center" wrapText="1"/>
    </xf>
    <xf numFmtId="43" fontId="3" fillId="0" borderId="5" xfId="2" applyFont="1" applyBorder="1" applyAlignment="1">
      <alignment horizontal="right" vertical="center" wrapText="1"/>
    </xf>
    <xf numFmtId="170" fontId="5" fillId="0" borderId="14" xfId="2" applyNumberFormat="1" applyFont="1" applyBorder="1" applyAlignment="1">
      <alignment horizontal="right" vertical="center" wrapText="1"/>
    </xf>
    <xf numFmtId="43" fontId="3" fillId="0" borderId="77" xfId="2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0" fontId="1" fillId="0" borderId="0" xfId="0" applyNumberFormat="1" applyFont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6" fillId="0" borderId="78" xfId="0" applyFont="1" applyFill="1" applyBorder="1" applyAlignment="1">
      <alignment horizontal="center" vertical="center"/>
    </xf>
    <xf numFmtId="165" fontId="35" fillId="0" borderId="79" xfId="0" applyNumberFormat="1" applyFont="1" applyBorder="1" applyAlignment="1">
      <alignment horizontal="right" vertical="center" wrapText="1"/>
    </xf>
    <xf numFmtId="2" fontId="37" fillId="0" borderId="79" xfId="0" applyNumberFormat="1" applyFont="1" applyBorder="1" applyAlignment="1">
      <alignment horizontal="right" vertical="center" wrapText="1"/>
    </xf>
    <xf numFmtId="165" fontId="37" fillId="0" borderId="79" xfId="0" applyNumberFormat="1" applyFont="1" applyBorder="1" applyAlignment="1">
      <alignment horizontal="right" vertical="center" wrapText="1"/>
    </xf>
    <xf numFmtId="2" fontId="35" fillId="0" borderId="79" xfId="0" applyNumberFormat="1" applyFont="1" applyBorder="1" applyAlignment="1">
      <alignment horizontal="right" vertical="center" wrapText="1"/>
    </xf>
    <xf numFmtId="2" fontId="35" fillId="0" borderId="79" xfId="0" applyNumberFormat="1" applyFont="1" applyFill="1" applyBorder="1" applyAlignment="1">
      <alignment horizontal="right" vertical="center" wrapText="1"/>
    </xf>
    <xf numFmtId="0" fontId="30" fillId="0" borderId="79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33" fillId="0" borderId="80" xfId="0" applyFont="1" applyBorder="1" applyAlignment="1">
      <alignment vertical="center"/>
    </xf>
    <xf numFmtId="0" fontId="1" fillId="0" borderId="60" xfId="0" applyFont="1" applyBorder="1" applyAlignment="1">
      <alignment horizontal="center"/>
    </xf>
    <xf numFmtId="14" fontId="1" fillId="0" borderId="61" xfId="0" applyNumberFormat="1" applyFont="1" applyBorder="1" applyAlignment="1">
      <alignment horizontal="center"/>
    </xf>
    <xf numFmtId="14" fontId="21" fillId="0" borderId="61" xfId="0" applyNumberFormat="1" applyFont="1" applyBorder="1" applyAlignment="1">
      <alignment horizontal="center"/>
    </xf>
    <xf numFmtId="14" fontId="21" fillId="0" borderId="6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21" fillId="0" borderId="71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3"/>
    </xf>
    <xf numFmtId="0" fontId="6" fillId="2" borderId="5" xfId="0" applyFont="1" applyFill="1" applyBorder="1" applyAlignment="1">
      <alignment horizontal="left" vertical="center" wrapText="1" indent="3"/>
    </xf>
    <xf numFmtId="0" fontId="6" fillId="2" borderId="1" xfId="0" applyFont="1" applyFill="1" applyBorder="1" applyAlignment="1">
      <alignment horizontal="left" vertical="center" wrapText="1" indent="3"/>
    </xf>
    <xf numFmtId="0" fontId="29" fillId="3" borderId="30" xfId="0" applyFont="1" applyFill="1" applyBorder="1" applyAlignment="1">
      <alignment horizontal="left" vertical="center" wrapText="1" indent="1"/>
    </xf>
    <xf numFmtId="3" fontId="29" fillId="3" borderId="32" xfId="0" applyNumberFormat="1" applyFont="1" applyFill="1" applyBorder="1" applyAlignment="1">
      <alignment horizontal="right" vertical="center" wrapText="1" indent="2"/>
    </xf>
    <xf numFmtId="3" fontId="29" fillId="3" borderId="27" xfId="0" applyNumberFormat="1" applyFont="1" applyFill="1" applyBorder="1" applyAlignment="1">
      <alignment horizontal="right" vertical="center" wrapText="1" indent="2"/>
    </xf>
    <xf numFmtId="3" fontId="29" fillId="3" borderId="33" xfId="0" applyNumberFormat="1" applyFont="1" applyFill="1" applyBorder="1" applyAlignment="1">
      <alignment horizontal="right" vertical="center" wrapText="1" indent="2"/>
    </xf>
    <xf numFmtId="0" fontId="4" fillId="3" borderId="30" xfId="0" applyFont="1" applyFill="1" applyBorder="1" applyAlignment="1">
      <alignment horizontal="left" vertical="center" wrapText="1" indent="1"/>
    </xf>
    <xf numFmtId="3" fontId="4" fillId="3" borderId="34" xfId="0" applyNumberFormat="1" applyFont="1" applyFill="1" applyBorder="1" applyAlignment="1">
      <alignment horizontal="right" vertical="center" wrapText="1" indent="2"/>
    </xf>
    <xf numFmtId="3" fontId="4" fillId="3" borderId="28" xfId="0" applyNumberFormat="1" applyFont="1" applyFill="1" applyBorder="1" applyAlignment="1">
      <alignment horizontal="right" vertical="center" wrapText="1" indent="2"/>
    </xf>
    <xf numFmtId="3" fontId="4" fillId="3" borderId="35" xfId="0" applyNumberFormat="1" applyFont="1" applyFill="1" applyBorder="1" applyAlignment="1">
      <alignment horizontal="right" vertical="center" wrapText="1" indent="2"/>
    </xf>
    <xf numFmtId="0" fontId="22" fillId="3" borderId="49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170" fontId="4" fillId="3" borderId="5" xfId="2" applyNumberFormat="1" applyFont="1" applyFill="1" applyBorder="1" applyAlignment="1">
      <alignment horizontal="right" vertical="center" wrapText="1"/>
    </xf>
    <xf numFmtId="170" fontId="4" fillId="3" borderId="77" xfId="2" applyNumberFormat="1" applyFont="1" applyFill="1" applyBorder="1" applyAlignment="1">
      <alignment horizontal="right" vertical="center" wrapText="1"/>
    </xf>
    <xf numFmtId="170" fontId="4" fillId="3" borderId="1" xfId="2" applyNumberFormat="1" applyFont="1" applyFill="1" applyBorder="1" applyAlignment="1">
      <alignment horizontal="right" vertical="center" wrapText="1"/>
    </xf>
    <xf numFmtId="4" fontId="26" fillId="3" borderId="31" xfId="2" applyNumberFormat="1" applyFont="1" applyFill="1" applyBorder="1" applyAlignment="1">
      <alignment horizontal="right"/>
    </xf>
    <xf numFmtId="4" fontId="26" fillId="3" borderId="64" xfId="2" applyNumberFormat="1" applyFont="1" applyFill="1" applyBorder="1" applyAlignment="1">
      <alignment horizontal="right"/>
    </xf>
    <xf numFmtId="4" fontId="26" fillId="3" borderId="3" xfId="2" applyNumberFormat="1" applyFont="1" applyFill="1" applyBorder="1" applyAlignment="1">
      <alignment horizontal="right"/>
    </xf>
    <xf numFmtId="4" fontId="26" fillId="3" borderId="54" xfId="2" applyNumberFormat="1" applyFont="1" applyFill="1" applyBorder="1" applyAlignment="1">
      <alignment horizontal="right"/>
    </xf>
    <xf numFmtId="4" fontId="26" fillId="3" borderId="63" xfId="2" applyNumberFormat="1" applyFont="1" applyFill="1" applyBorder="1" applyAlignment="1">
      <alignment horizontal="right"/>
    </xf>
    <xf numFmtId="4" fontId="26" fillId="3" borderId="55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6" xfId="0" quotePrefix="1" applyFont="1" applyBorder="1" applyAlignment="1">
      <alignment horizontal="center" vertical="center"/>
    </xf>
    <xf numFmtId="4" fontId="23" fillId="3" borderId="62" xfId="2" applyNumberFormat="1" applyFont="1" applyFill="1" applyBorder="1" applyAlignment="1">
      <alignment horizontal="right" vertical="center" wrapText="1"/>
    </xf>
    <xf numFmtId="4" fontId="23" fillId="3" borderId="76" xfId="2" applyNumberFormat="1" applyFont="1" applyFill="1" applyBorder="1" applyAlignment="1">
      <alignment horizontal="right" vertical="center" wrapText="1"/>
    </xf>
    <xf numFmtId="4" fontId="23" fillId="3" borderId="50" xfId="2" applyNumberFormat="1" applyFont="1" applyFill="1" applyBorder="1" applyAlignment="1">
      <alignment horizontal="right" vertical="center" wrapText="1"/>
    </xf>
    <xf numFmtId="4" fontId="5" fillId="0" borderId="5" xfId="2" applyNumberFormat="1" applyFont="1" applyBorder="1" applyAlignment="1">
      <alignment horizontal="right" vertical="center" wrapText="1"/>
    </xf>
    <xf numFmtId="4" fontId="5" fillId="0" borderId="77" xfId="2" applyNumberFormat="1" applyFont="1" applyBorder="1" applyAlignment="1">
      <alignment horizontal="right" vertical="center" wrapText="1"/>
    </xf>
    <xf numFmtId="4" fontId="5" fillId="0" borderId="1" xfId="2" applyNumberFormat="1" applyFont="1" applyBorder="1" applyAlignment="1">
      <alignment horizontal="right" vertical="center" wrapText="1"/>
    </xf>
    <xf numFmtId="4" fontId="6" fillId="0" borderId="0" xfId="2" applyNumberFormat="1" applyFont="1" applyBorder="1" applyAlignment="1">
      <alignment horizontal="right" vertical="center" wrapText="1"/>
    </xf>
    <xf numFmtId="4" fontId="6" fillId="0" borderId="14" xfId="2" applyNumberFormat="1" applyFont="1" applyBorder="1" applyAlignment="1">
      <alignment horizontal="right" vertical="center" wrapText="1"/>
    </xf>
    <xf numFmtId="4" fontId="6" fillId="0" borderId="3" xfId="2" applyNumberFormat="1" applyFont="1" applyBorder="1" applyAlignment="1">
      <alignment horizontal="right" vertical="center" wrapText="1"/>
    </xf>
    <xf numFmtId="4" fontId="6" fillId="0" borderId="5" xfId="2" applyNumberFormat="1" applyFont="1" applyBorder="1" applyAlignment="1">
      <alignment horizontal="right" vertical="center" wrapText="1"/>
    </xf>
    <xf numFmtId="4" fontId="6" fillId="0" borderId="77" xfId="2" applyNumberFormat="1" applyFont="1" applyBorder="1" applyAlignment="1">
      <alignment horizontal="right" vertical="center" wrapText="1"/>
    </xf>
    <xf numFmtId="4" fontId="6" fillId="0" borderId="1" xfId="2" applyNumberFormat="1" applyFont="1" applyBorder="1" applyAlignment="1">
      <alignment horizontal="right" vertical="center" wrapText="1"/>
    </xf>
    <xf numFmtId="4" fontId="19" fillId="0" borderId="77" xfId="2" applyNumberFormat="1" applyFont="1" applyBorder="1" applyAlignment="1">
      <alignment horizontal="right" vertical="center" wrapText="1"/>
    </xf>
    <xf numFmtId="4" fontId="20" fillId="0" borderId="14" xfId="2" applyNumberFormat="1" applyFont="1" applyBorder="1" applyAlignment="1">
      <alignment horizontal="right" vertical="center" wrapText="1"/>
    </xf>
    <xf numFmtId="4" fontId="20" fillId="0" borderId="3" xfId="2" applyNumberFormat="1" applyFont="1" applyBorder="1" applyAlignment="1">
      <alignment horizontal="right" vertical="center" wrapText="1"/>
    </xf>
    <xf numFmtId="4" fontId="5" fillId="0" borderId="0" xfId="2" applyNumberFormat="1" applyFont="1" applyBorder="1" applyAlignment="1">
      <alignment horizontal="right" vertical="center" wrapText="1"/>
    </xf>
    <xf numFmtId="4" fontId="5" fillId="0" borderId="14" xfId="2" applyNumberFormat="1" applyFont="1" applyBorder="1" applyAlignment="1">
      <alignment horizontal="right" vertical="center" wrapText="1"/>
    </xf>
    <xf numFmtId="4" fontId="5" fillId="0" borderId="3" xfId="2" applyNumberFormat="1" applyFont="1" applyBorder="1" applyAlignment="1">
      <alignment horizontal="right" vertical="center" wrapText="1"/>
    </xf>
    <xf numFmtId="4" fontId="6" fillId="0" borderId="8" xfId="2" applyNumberFormat="1" applyFont="1" applyBorder="1" applyAlignment="1">
      <alignment horizontal="right" vertical="center" wrapText="1"/>
    </xf>
    <xf numFmtId="4" fontId="6" fillId="0" borderId="13" xfId="2" applyNumberFormat="1" applyFont="1" applyBorder="1" applyAlignment="1">
      <alignment horizontal="right" vertical="center" wrapText="1"/>
    </xf>
    <xf numFmtId="4" fontId="20" fillId="0" borderId="48" xfId="2" applyNumberFormat="1" applyFont="1" applyBorder="1" applyAlignment="1">
      <alignment horizontal="right" vertical="center" wrapText="1"/>
    </xf>
    <xf numFmtId="4" fontId="6" fillId="0" borderId="9" xfId="2" applyNumberFormat="1" applyFont="1" applyBorder="1" applyAlignment="1">
      <alignment horizontal="right" vertical="center" wrapText="1"/>
    </xf>
    <xf numFmtId="4" fontId="20" fillId="0" borderId="10" xfId="2" applyNumberFormat="1" applyFont="1" applyBorder="1" applyAlignment="1">
      <alignment horizontal="right" vertical="center" wrapText="1"/>
    </xf>
    <xf numFmtId="4" fontId="6" fillId="0" borderId="10" xfId="2" applyNumberFormat="1" applyFont="1" applyBorder="1" applyAlignment="1">
      <alignment horizontal="right" vertical="center" wrapText="1"/>
    </xf>
    <xf numFmtId="4" fontId="6" fillId="0" borderId="11" xfId="2" applyNumberFormat="1" applyFont="1" applyBorder="1" applyAlignment="1">
      <alignment horizontal="right" vertical="center" wrapText="1"/>
    </xf>
    <xf numFmtId="4" fontId="6" fillId="0" borderId="15" xfId="2" applyNumberFormat="1" applyFont="1" applyBorder="1" applyAlignment="1">
      <alignment horizontal="right" vertical="center" wrapText="1"/>
    </xf>
    <xf numFmtId="4" fontId="6" fillId="0" borderId="12" xfId="2" applyNumberFormat="1" applyFont="1" applyBorder="1" applyAlignment="1">
      <alignment horizontal="right" vertical="center" wrapText="1"/>
    </xf>
    <xf numFmtId="4" fontId="16" fillId="2" borderId="8" xfId="2" applyNumberFormat="1" applyFont="1" applyFill="1" applyBorder="1" applyAlignment="1">
      <alignment horizontal="right" vertical="center" wrapText="1" readingOrder="1"/>
    </xf>
    <xf numFmtId="4" fontId="16" fillId="2" borderId="13" xfId="2" applyNumberFormat="1" applyFont="1" applyFill="1" applyBorder="1" applyAlignment="1">
      <alignment horizontal="right" vertical="center" wrapText="1" readingOrder="1"/>
    </xf>
    <xf numFmtId="4" fontId="16" fillId="2" borderId="48" xfId="2" applyNumberFormat="1" applyFont="1" applyFill="1" applyBorder="1" applyAlignment="1">
      <alignment horizontal="right" vertical="center" wrapText="1" readingOrder="1"/>
    </xf>
    <xf numFmtId="4" fontId="15" fillId="2" borderId="9" xfId="2" applyNumberFormat="1" applyFont="1" applyFill="1" applyBorder="1" applyAlignment="1">
      <alignment horizontal="right" vertical="center" wrapText="1"/>
    </xf>
    <xf numFmtId="4" fontId="15" fillId="2" borderId="14" xfId="2" applyNumberFormat="1" applyFont="1" applyFill="1" applyBorder="1" applyAlignment="1">
      <alignment horizontal="right" vertical="center" wrapText="1"/>
    </xf>
    <xf numFmtId="4" fontId="15" fillId="2" borderId="10" xfId="2" applyNumberFormat="1" applyFont="1" applyFill="1" applyBorder="1" applyAlignment="1">
      <alignment horizontal="right" vertical="center" wrapText="1"/>
    </xf>
    <xf numFmtId="4" fontId="16" fillId="2" borderId="9" xfId="2" applyNumberFormat="1" applyFont="1" applyFill="1" applyBorder="1" applyAlignment="1">
      <alignment horizontal="right" vertical="center" wrapText="1"/>
    </xf>
    <xf numFmtId="4" fontId="16" fillId="2" borderId="10" xfId="2" applyNumberFormat="1" applyFont="1" applyFill="1" applyBorder="1" applyAlignment="1">
      <alignment horizontal="right" vertical="center" wrapText="1"/>
    </xf>
    <xf numFmtId="4" fontId="15" fillId="2" borderId="11" xfId="2" applyNumberFormat="1" applyFont="1" applyFill="1" applyBorder="1" applyAlignment="1">
      <alignment horizontal="right" vertical="center" wrapText="1"/>
    </xf>
    <xf numFmtId="4" fontId="15" fillId="2" borderId="15" xfId="2" applyNumberFormat="1" applyFont="1" applyFill="1" applyBorder="1" applyAlignment="1">
      <alignment horizontal="right" vertical="center" wrapText="1"/>
    </xf>
    <xf numFmtId="4" fontId="15" fillId="2" borderId="12" xfId="2" applyNumberFormat="1" applyFont="1" applyFill="1" applyBorder="1" applyAlignment="1">
      <alignment horizontal="right" vertical="center" wrapText="1"/>
    </xf>
    <xf numFmtId="4" fontId="16" fillId="2" borderId="5" xfId="2" applyNumberFormat="1" applyFont="1" applyFill="1" applyBorder="1" applyAlignment="1">
      <alignment horizontal="right" vertical="center" wrapText="1"/>
    </xf>
    <xf numFmtId="4" fontId="16" fillId="2" borderId="77" xfId="2" applyNumberFormat="1" applyFont="1" applyFill="1" applyBorder="1" applyAlignment="1">
      <alignment horizontal="right" vertical="center" wrapText="1"/>
    </xf>
    <xf numFmtId="4" fontId="16" fillId="2" borderId="1" xfId="2" applyNumberFormat="1" applyFont="1" applyFill="1" applyBorder="1" applyAlignment="1">
      <alignment horizontal="right" vertical="center" wrapText="1"/>
    </xf>
    <xf numFmtId="4" fontId="16" fillId="2" borderId="0" xfId="2" applyNumberFormat="1" applyFont="1" applyFill="1" applyBorder="1" applyAlignment="1">
      <alignment horizontal="right" vertical="center" wrapText="1"/>
    </xf>
    <xf numFmtId="4" fontId="16" fillId="2" borderId="14" xfId="2" applyNumberFormat="1" applyFont="1" applyFill="1" applyBorder="1" applyAlignment="1">
      <alignment horizontal="right" vertical="center" wrapText="1"/>
    </xf>
    <xf numFmtId="4" fontId="16" fillId="2" borderId="3" xfId="2" applyNumberFormat="1" applyFont="1" applyFill="1" applyBorder="1" applyAlignment="1">
      <alignment horizontal="right" vertical="center" wrapText="1"/>
    </xf>
    <xf numFmtId="4" fontId="15" fillId="2" borderId="5" xfId="2" applyNumberFormat="1" applyFont="1" applyFill="1" applyBorder="1" applyAlignment="1">
      <alignment horizontal="right" vertical="center" wrapText="1"/>
    </xf>
    <xf numFmtId="4" fontId="15" fillId="2" borderId="77" xfId="2" applyNumberFormat="1" applyFont="1" applyFill="1" applyBorder="1" applyAlignment="1">
      <alignment horizontal="right" vertical="center" wrapText="1"/>
    </xf>
    <xf numFmtId="4" fontId="15" fillId="2" borderId="1" xfId="2" applyNumberFormat="1" applyFont="1" applyFill="1" applyBorder="1" applyAlignment="1">
      <alignment horizontal="right" vertical="center" wrapText="1"/>
    </xf>
    <xf numFmtId="4" fontId="17" fillId="2" borderId="1" xfId="2" applyNumberFormat="1" applyFont="1" applyFill="1" applyBorder="1" applyAlignment="1">
      <alignment horizontal="right" vertical="center" wrapText="1"/>
    </xf>
    <xf numFmtId="4" fontId="17" fillId="2" borderId="5" xfId="2" applyNumberFormat="1" applyFont="1" applyFill="1" applyBorder="1" applyAlignment="1">
      <alignment horizontal="right" vertical="center" wrapText="1"/>
    </xf>
    <xf numFmtId="4" fontId="17" fillId="2" borderId="77" xfId="2" applyNumberFormat="1" applyFont="1" applyFill="1" applyBorder="1" applyAlignment="1">
      <alignment horizontal="right" vertical="center" wrapText="1"/>
    </xf>
    <xf numFmtId="3" fontId="5" fillId="0" borderId="43" xfId="2" applyNumberFormat="1" applyFont="1" applyBorder="1" applyAlignment="1">
      <alignment horizontal="right" vertical="center" wrapText="1" indent="2"/>
    </xf>
    <xf numFmtId="3" fontId="5" fillId="0" borderId="41" xfId="2" applyNumberFormat="1" applyFont="1" applyBorder="1" applyAlignment="1">
      <alignment horizontal="right" vertical="center" wrapText="1" indent="2"/>
    </xf>
    <xf numFmtId="3" fontId="5" fillId="0" borderId="44" xfId="2" applyNumberFormat="1" applyFont="1" applyBorder="1" applyAlignment="1">
      <alignment horizontal="right" vertical="center" wrapText="1" indent="2"/>
    </xf>
    <xf numFmtId="3" fontId="6" fillId="0" borderId="36" xfId="2" applyNumberFormat="1" applyFont="1" applyBorder="1" applyAlignment="1">
      <alignment horizontal="right" vertical="center" wrapText="1" indent="2"/>
    </xf>
    <xf numFmtId="3" fontId="6" fillId="0" borderId="29" xfId="2" applyNumberFormat="1" applyFont="1" applyBorder="1" applyAlignment="1">
      <alignment horizontal="right" vertical="center" wrapText="1" indent="2"/>
    </xf>
    <xf numFmtId="3" fontId="6" fillId="0" borderId="37" xfId="2" applyNumberFormat="1" applyFont="1" applyBorder="1" applyAlignment="1">
      <alignment horizontal="right" vertical="center" wrapText="1" indent="2"/>
    </xf>
    <xf numFmtId="3" fontId="5" fillId="0" borderId="36" xfId="2" applyNumberFormat="1" applyFont="1" applyBorder="1" applyAlignment="1">
      <alignment horizontal="right" vertical="center" wrapText="1" indent="2"/>
    </xf>
    <xf numFmtId="3" fontId="5" fillId="0" borderId="29" xfId="2" applyNumberFormat="1" applyFont="1" applyBorder="1" applyAlignment="1">
      <alignment horizontal="right" vertical="center" wrapText="1" indent="2"/>
    </xf>
    <xf numFmtId="3" fontId="5" fillId="0" borderId="37" xfId="2" applyNumberFormat="1" applyFont="1" applyBorder="1" applyAlignment="1">
      <alignment horizontal="right" vertical="center" wrapText="1" indent="2"/>
    </xf>
    <xf numFmtId="3" fontId="6" fillId="0" borderId="34" xfId="2" applyNumberFormat="1" applyFont="1" applyBorder="1" applyAlignment="1">
      <alignment horizontal="right" vertical="center" wrapText="1" indent="2"/>
    </xf>
    <xf numFmtId="3" fontId="6" fillId="0" borderId="28" xfId="2" applyNumberFormat="1" applyFont="1" applyBorder="1" applyAlignment="1">
      <alignment horizontal="right" vertical="center" wrapText="1" indent="2"/>
    </xf>
    <xf numFmtId="3" fontId="6" fillId="0" borderId="35" xfId="2" applyNumberFormat="1" applyFont="1" applyBorder="1" applyAlignment="1">
      <alignment horizontal="right" vertical="center" wrapText="1" indent="2"/>
    </xf>
    <xf numFmtId="3" fontId="5" fillId="0" borderId="34" xfId="2" applyNumberFormat="1" applyFont="1" applyBorder="1" applyAlignment="1">
      <alignment horizontal="right" vertical="center" wrapText="1" indent="2"/>
    </xf>
    <xf numFmtId="3" fontId="5" fillId="0" borderId="28" xfId="2" applyNumberFormat="1" applyFont="1" applyBorder="1" applyAlignment="1">
      <alignment horizontal="right" vertical="center" wrapText="1" indent="2"/>
    </xf>
    <xf numFmtId="3" fontId="5" fillId="0" borderId="35" xfId="2" applyNumberFormat="1" applyFont="1" applyBorder="1" applyAlignment="1">
      <alignment horizontal="right" vertical="center" wrapText="1" indent="2"/>
    </xf>
    <xf numFmtId="3" fontId="3" fillId="0" borderId="35" xfId="2" applyNumberFormat="1" applyFont="1" applyBorder="1" applyAlignment="1">
      <alignment horizontal="right" vertical="center" wrapText="1" indent="2"/>
    </xf>
    <xf numFmtId="3" fontId="3" fillId="0" borderId="34" xfId="2" applyNumberFormat="1" applyFont="1" applyBorder="1" applyAlignment="1">
      <alignment horizontal="right" vertical="center" wrapText="1" indent="2"/>
    </xf>
    <xf numFmtId="3" fontId="3" fillId="0" borderId="28" xfId="2" applyNumberFormat="1" applyFont="1" applyBorder="1" applyAlignment="1">
      <alignment horizontal="right" vertical="center" wrapText="1" indent="2"/>
    </xf>
    <xf numFmtId="3" fontId="3" fillId="0" borderId="38" xfId="2" applyNumberFormat="1" applyFont="1" applyBorder="1" applyAlignment="1">
      <alignment horizontal="right" vertical="center" wrapText="1" indent="2"/>
    </xf>
    <xf numFmtId="3" fontId="3" fillId="0" borderId="39" xfId="2" applyNumberFormat="1" applyFont="1" applyBorder="1" applyAlignment="1">
      <alignment horizontal="right" vertical="center" wrapText="1" indent="2"/>
    </xf>
    <xf numFmtId="3" fontId="3" fillId="0" borderId="40" xfId="2" applyNumberFormat="1" applyFont="1" applyBorder="1" applyAlignment="1">
      <alignment horizontal="right" vertical="center" wrapText="1" indent="2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464D8"/>
      <color rgb="FF041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F304-88CD-472E-B375-F8177860F564}">
  <dimension ref="A1:L31"/>
  <sheetViews>
    <sheetView showGridLines="0" zoomScale="80" zoomScaleNormal="80" workbookViewId="0">
      <selection sqref="A1:D2"/>
    </sheetView>
  </sheetViews>
  <sheetFormatPr defaultColWidth="8.88671875" defaultRowHeight="15.6" x14ac:dyDescent="0.3"/>
  <cols>
    <col min="1" max="1" width="33.33203125" style="8" customWidth="1"/>
    <col min="2" max="4" width="16.5546875" style="8" customWidth="1"/>
    <col min="5" max="5" width="8.88671875" style="8"/>
    <col min="6" max="6" width="33.33203125" style="8" customWidth="1"/>
    <col min="7" max="9" width="16.6640625" style="8" customWidth="1"/>
    <col min="10" max="16384" width="8.88671875" style="8"/>
  </cols>
  <sheetData>
    <row r="1" spans="1:12" ht="15.6" customHeight="1" x14ac:dyDescent="0.3">
      <c r="A1" s="310" t="s">
        <v>0</v>
      </c>
      <c r="B1" s="310"/>
      <c r="C1" s="310"/>
      <c r="D1" s="310"/>
      <c r="E1" s="106"/>
      <c r="F1" s="310" t="s">
        <v>1</v>
      </c>
      <c r="G1" s="310"/>
      <c r="H1" s="310"/>
      <c r="I1" s="310"/>
    </row>
    <row r="2" spans="1:12" ht="16.2" customHeight="1" x14ac:dyDescent="0.3">
      <c r="A2" s="310"/>
      <c r="B2" s="310"/>
      <c r="C2" s="310"/>
      <c r="D2" s="310"/>
      <c r="E2" s="106"/>
      <c r="F2" s="310"/>
      <c r="G2" s="310"/>
      <c r="H2" s="310"/>
      <c r="I2" s="310"/>
    </row>
    <row r="3" spans="1:12" ht="16.2" thickBot="1" x14ac:dyDescent="0.35">
      <c r="A3" s="6"/>
      <c r="B3" s="103">
        <v>2016</v>
      </c>
      <c r="C3" s="102">
        <v>2017</v>
      </c>
      <c r="D3" s="101">
        <v>2018</v>
      </c>
      <c r="E3" s="81"/>
      <c r="F3" s="6"/>
      <c r="G3" s="55">
        <v>2016</v>
      </c>
      <c r="H3" s="59">
        <v>2017</v>
      </c>
      <c r="I3" s="7">
        <v>2018</v>
      </c>
      <c r="K3" s="130"/>
      <c r="L3" s="130"/>
    </row>
    <row r="4" spans="1:12" ht="16.2" thickBot="1" x14ac:dyDescent="0.35">
      <c r="A4" s="291" t="s">
        <v>2</v>
      </c>
      <c r="B4" s="292">
        <v>12456383</v>
      </c>
      <c r="C4" s="293">
        <v>10725649</v>
      </c>
      <c r="D4" s="294">
        <v>15804594</v>
      </c>
      <c r="E4" s="10"/>
      <c r="F4" s="60" t="s">
        <v>3</v>
      </c>
      <c r="G4" s="370">
        <v>27670589</v>
      </c>
      <c r="H4" s="371">
        <v>34675863</v>
      </c>
      <c r="I4" s="372">
        <v>40204935</v>
      </c>
      <c r="K4" s="130"/>
      <c r="L4" s="130"/>
    </row>
    <row r="5" spans="1:12" ht="16.2" thickBot="1" x14ac:dyDescent="0.35">
      <c r="A5" s="56" t="s">
        <v>4</v>
      </c>
      <c r="B5" s="132">
        <v>4701680</v>
      </c>
      <c r="C5" s="133">
        <v>4402360</v>
      </c>
      <c r="D5" s="134">
        <v>4368358</v>
      </c>
      <c r="E5" s="10"/>
      <c r="F5" s="61" t="s">
        <v>5</v>
      </c>
      <c r="G5" s="373">
        <v>26917885</v>
      </c>
      <c r="H5" s="374">
        <v>33636637</v>
      </c>
      <c r="I5" s="375">
        <v>37884266</v>
      </c>
      <c r="K5" s="130"/>
      <c r="L5" s="131"/>
    </row>
    <row r="6" spans="1:12" ht="16.2" thickBot="1" x14ac:dyDescent="0.35">
      <c r="A6" s="57" t="s">
        <v>6</v>
      </c>
      <c r="B6" s="135">
        <v>1573</v>
      </c>
      <c r="C6" s="136">
        <v>918</v>
      </c>
      <c r="D6" s="137">
        <v>270</v>
      </c>
      <c r="E6" s="10"/>
      <c r="F6" s="61" t="s">
        <v>7</v>
      </c>
      <c r="G6" s="373">
        <v>752704</v>
      </c>
      <c r="H6" s="374">
        <v>1039226</v>
      </c>
      <c r="I6" s="375">
        <v>2320669</v>
      </c>
      <c r="K6" s="130"/>
      <c r="L6" s="130"/>
    </row>
    <row r="7" spans="1:12" ht="16.2" thickBot="1" x14ac:dyDescent="0.35">
      <c r="A7" s="57" t="s">
        <v>8</v>
      </c>
      <c r="B7" s="135">
        <v>4700107</v>
      </c>
      <c r="C7" s="136">
        <v>4401442</v>
      </c>
      <c r="D7" s="137">
        <v>4368088</v>
      </c>
      <c r="E7" s="10"/>
      <c r="F7" s="60" t="s">
        <v>9</v>
      </c>
      <c r="G7" s="376">
        <v>26666269</v>
      </c>
      <c r="H7" s="377">
        <v>33188578</v>
      </c>
      <c r="I7" s="378">
        <v>37802434</v>
      </c>
      <c r="K7" s="131"/>
      <c r="L7" s="131"/>
    </row>
    <row r="8" spans="1:12" ht="16.2" customHeight="1" thickBot="1" x14ac:dyDescent="0.35">
      <c r="A8" s="58" t="s">
        <v>10</v>
      </c>
      <c r="B8" s="138">
        <v>0</v>
      </c>
      <c r="C8" s="139">
        <v>0</v>
      </c>
      <c r="D8" s="140">
        <v>0</v>
      </c>
      <c r="E8" s="10"/>
      <c r="F8" s="61" t="s">
        <v>11</v>
      </c>
      <c r="G8" s="373">
        <v>23989255</v>
      </c>
      <c r="H8" s="374">
        <v>28986208</v>
      </c>
      <c r="I8" s="375">
        <v>31503348</v>
      </c>
      <c r="K8" s="130"/>
      <c r="L8" s="130"/>
    </row>
    <row r="9" spans="1:12" ht="16.2" thickBot="1" x14ac:dyDescent="0.35">
      <c r="A9" s="56" t="s">
        <v>12</v>
      </c>
      <c r="B9" s="132">
        <v>7327377</v>
      </c>
      <c r="C9" s="133">
        <v>5891233</v>
      </c>
      <c r="D9" s="134">
        <v>11159086</v>
      </c>
      <c r="E9" s="10"/>
      <c r="F9" s="61" t="s">
        <v>126</v>
      </c>
      <c r="G9" s="373">
        <v>2441225</v>
      </c>
      <c r="H9" s="374">
        <v>3534691</v>
      </c>
      <c r="I9" s="375">
        <v>4525493</v>
      </c>
      <c r="K9" s="130"/>
      <c r="L9" s="130"/>
    </row>
    <row r="10" spans="1:12" ht="15.6" customHeight="1" thickBot="1" x14ac:dyDescent="0.35">
      <c r="A10" s="57" t="s">
        <v>13</v>
      </c>
      <c r="B10" s="135">
        <v>575246</v>
      </c>
      <c r="C10" s="136">
        <v>1439144</v>
      </c>
      <c r="D10" s="137">
        <v>1447230</v>
      </c>
      <c r="E10" s="10"/>
      <c r="F10" s="61" t="s">
        <v>14</v>
      </c>
      <c r="G10" s="373">
        <v>213276</v>
      </c>
      <c r="H10" s="374">
        <v>576756</v>
      </c>
      <c r="I10" s="375">
        <v>628825</v>
      </c>
      <c r="K10" s="131"/>
      <c r="L10" s="130"/>
    </row>
    <row r="11" spans="1:12" ht="16.2" customHeight="1" thickBot="1" x14ac:dyDescent="0.35">
      <c r="A11" s="57" t="s">
        <v>15</v>
      </c>
      <c r="B11" s="135">
        <v>0</v>
      </c>
      <c r="C11" s="136">
        <v>0</v>
      </c>
      <c r="D11" s="141">
        <v>127877</v>
      </c>
      <c r="E11" s="10"/>
      <c r="F11" s="62" t="s">
        <v>16</v>
      </c>
      <c r="G11" s="379">
        <v>22513</v>
      </c>
      <c r="H11" s="380">
        <v>90923</v>
      </c>
      <c r="I11" s="381">
        <v>1144768</v>
      </c>
      <c r="K11" s="130"/>
      <c r="L11" s="130"/>
    </row>
    <row r="12" spans="1:12" ht="16.2" customHeight="1" thickBot="1" x14ac:dyDescent="0.35">
      <c r="A12" s="57" t="s">
        <v>17</v>
      </c>
      <c r="B12" s="135">
        <v>2554569</v>
      </c>
      <c r="C12" s="136">
        <v>1974997</v>
      </c>
      <c r="D12" s="137">
        <v>4417517</v>
      </c>
      <c r="E12" s="10"/>
      <c r="F12" s="63" t="s">
        <v>18</v>
      </c>
      <c r="G12" s="382">
        <v>1004320</v>
      </c>
      <c r="H12" s="383">
        <v>1487285</v>
      </c>
      <c r="I12" s="384">
        <v>2402501</v>
      </c>
      <c r="K12" s="130"/>
      <c r="L12" s="130"/>
    </row>
    <row r="13" spans="1:12" ht="16.2" thickBot="1" x14ac:dyDescent="0.35">
      <c r="A13" s="58" t="s">
        <v>19</v>
      </c>
      <c r="B13" s="138">
        <v>4197562</v>
      </c>
      <c r="C13" s="139">
        <v>2477092</v>
      </c>
      <c r="D13" s="140">
        <v>5166462</v>
      </c>
      <c r="E13" s="10"/>
      <c r="F13" s="63" t="s">
        <v>20</v>
      </c>
      <c r="G13" s="382">
        <v>2928630</v>
      </c>
      <c r="H13" s="383">
        <v>4650429</v>
      </c>
      <c r="I13" s="384">
        <v>6380918</v>
      </c>
      <c r="K13" s="130"/>
      <c r="L13" s="130"/>
    </row>
    <row r="14" spans="1:12" ht="16.2" thickBot="1" x14ac:dyDescent="0.35">
      <c r="A14" s="56" t="s">
        <v>21</v>
      </c>
      <c r="B14" s="132">
        <v>427326</v>
      </c>
      <c r="C14" s="133">
        <v>432056</v>
      </c>
      <c r="D14" s="134">
        <v>277150</v>
      </c>
      <c r="E14" s="10"/>
      <c r="F14" s="60" t="s">
        <v>22</v>
      </c>
      <c r="G14" s="376">
        <v>786</v>
      </c>
      <c r="H14" s="377">
        <v>3308</v>
      </c>
      <c r="I14" s="378">
        <v>3287</v>
      </c>
      <c r="K14" s="131"/>
      <c r="L14" s="131"/>
    </row>
    <row r="15" spans="1:12" ht="16.2" thickBot="1" x14ac:dyDescent="0.35">
      <c r="A15" s="56" t="s">
        <v>23</v>
      </c>
      <c r="B15" s="132">
        <v>0</v>
      </c>
      <c r="C15" s="133">
        <v>0</v>
      </c>
      <c r="D15" s="134">
        <v>0</v>
      </c>
      <c r="E15" s="10"/>
      <c r="F15" s="60" t="s">
        <v>24</v>
      </c>
      <c r="G15" s="376">
        <v>357045</v>
      </c>
      <c r="H15" s="377">
        <v>477011</v>
      </c>
      <c r="I15" s="378">
        <v>369628</v>
      </c>
      <c r="K15" s="130"/>
      <c r="L15" s="130"/>
    </row>
    <row r="16" spans="1:12" ht="16.2" thickBot="1" x14ac:dyDescent="0.35">
      <c r="A16" s="295" t="s">
        <v>25</v>
      </c>
      <c r="B16" s="296">
        <v>12456383</v>
      </c>
      <c r="C16" s="297">
        <v>10725649</v>
      </c>
      <c r="D16" s="298">
        <v>15804594</v>
      </c>
      <c r="E16" s="10"/>
      <c r="F16" s="62" t="s">
        <v>26</v>
      </c>
      <c r="G16" s="379">
        <v>196411</v>
      </c>
      <c r="H16" s="380">
        <v>218203</v>
      </c>
      <c r="I16" s="381">
        <v>0</v>
      </c>
      <c r="K16" s="130"/>
      <c r="L16" s="130"/>
    </row>
    <row r="17" spans="1:12" ht="16.2" thickBot="1" x14ac:dyDescent="0.35">
      <c r="A17" s="56" t="s">
        <v>27</v>
      </c>
      <c r="B17" s="132">
        <v>575801</v>
      </c>
      <c r="C17" s="133">
        <v>866693</v>
      </c>
      <c r="D17" s="134">
        <v>1650150</v>
      </c>
      <c r="E17" s="10"/>
      <c r="F17" s="63" t="s">
        <v>28</v>
      </c>
      <c r="G17" s="382">
        <v>-356259</v>
      </c>
      <c r="H17" s="383">
        <v>-473703</v>
      </c>
      <c r="I17" s="384">
        <v>-366341</v>
      </c>
      <c r="K17" s="130"/>
      <c r="L17" s="130"/>
    </row>
    <row r="18" spans="1:12" ht="15.6" customHeight="1" thickBot="1" x14ac:dyDescent="0.35">
      <c r="A18" s="57" t="s">
        <v>29</v>
      </c>
      <c r="B18" s="135">
        <v>6639</v>
      </c>
      <c r="C18" s="136">
        <v>6639</v>
      </c>
      <c r="D18" s="137">
        <v>6639</v>
      </c>
      <c r="E18" s="5"/>
      <c r="F18" s="63" t="s">
        <v>30</v>
      </c>
      <c r="G18" s="382">
        <v>648061</v>
      </c>
      <c r="H18" s="383">
        <v>1013582</v>
      </c>
      <c r="I18" s="385">
        <v>2036160</v>
      </c>
      <c r="K18" s="131"/>
      <c r="L18" s="131"/>
    </row>
    <row r="19" spans="1:12" ht="15.6" customHeight="1" thickBot="1" x14ac:dyDescent="0.35">
      <c r="A19" s="57" t="s">
        <v>31</v>
      </c>
      <c r="B19" s="135">
        <v>664</v>
      </c>
      <c r="C19" s="136">
        <v>664</v>
      </c>
      <c r="D19" s="137">
        <v>664</v>
      </c>
      <c r="E19" s="5"/>
      <c r="F19" s="62" t="s">
        <v>32</v>
      </c>
      <c r="G19" s="379">
        <v>152875</v>
      </c>
      <c r="H19" s="380">
        <v>227504</v>
      </c>
      <c r="I19" s="381">
        <v>466625</v>
      </c>
      <c r="K19" s="131"/>
      <c r="L19" s="131"/>
    </row>
    <row r="20" spans="1:12" ht="15.6" customHeight="1" thickBot="1" x14ac:dyDescent="0.35">
      <c r="A20" s="57" t="s">
        <v>33</v>
      </c>
      <c r="B20" s="135">
        <v>0</v>
      </c>
      <c r="C20" s="136">
        <v>0</v>
      </c>
      <c r="D20" s="137">
        <v>0</v>
      </c>
      <c r="E20" s="5"/>
      <c r="F20" s="63" t="s">
        <v>34</v>
      </c>
      <c r="G20" s="386">
        <v>495186</v>
      </c>
      <c r="H20" s="387">
        <v>786078</v>
      </c>
      <c r="I20" s="385">
        <v>1569535</v>
      </c>
      <c r="K20" s="130"/>
      <c r="L20" s="130"/>
    </row>
    <row r="21" spans="1:12" ht="16.2" thickBot="1" x14ac:dyDescent="0.35">
      <c r="A21" s="57" t="s">
        <v>35</v>
      </c>
      <c r="B21" s="135">
        <v>73312</v>
      </c>
      <c r="C21" s="136">
        <v>73312</v>
      </c>
      <c r="D21" s="137">
        <v>73312</v>
      </c>
      <c r="E21" s="10"/>
      <c r="F21" s="63" t="s">
        <v>36</v>
      </c>
      <c r="G21" s="382">
        <v>0</v>
      </c>
      <c r="H21" s="383">
        <v>0</v>
      </c>
      <c r="I21" s="384">
        <v>0</v>
      </c>
      <c r="K21" s="130"/>
      <c r="L21" s="130"/>
    </row>
    <row r="22" spans="1:12" ht="16.2" thickBot="1" x14ac:dyDescent="0.35">
      <c r="A22" s="58" t="s">
        <v>37</v>
      </c>
      <c r="B22" s="138">
        <v>495186</v>
      </c>
      <c r="C22" s="139">
        <v>786078</v>
      </c>
      <c r="D22" s="140">
        <v>1569535</v>
      </c>
      <c r="E22" s="10"/>
      <c r="F22" s="65" t="s">
        <v>38</v>
      </c>
      <c r="G22" s="388">
        <v>495186</v>
      </c>
      <c r="H22" s="389">
        <v>786078</v>
      </c>
      <c r="I22" s="390">
        <v>1569535</v>
      </c>
      <c r="K22" s="130"/>
      <c r="L22" s="130"/>
    </row>
    <row r="23" spans="1:12" ht="16.2" thickBot="1" x14ac:dyDescent="0.35">
      <c r="A23" s="56" t="s">
        <v>39</v>
      </c>
      <c r="B23" s="132">
        <v>11822305</v>
      </c>
      <c r="C23" s="133">
        <v>9815502</v>
      </c>
      <c r="D23" s="134">
        <v>13999924</v>
      </c>
      <c r="E23" s="19"/>
      <c r="F23" s="20"/>
      <c r="K23" s="130"/>
      <c r="L23" s="130"/>
    </row>
    <row r="24" spans="1:12" ht="16.2" thickBot="1" x14ac:dyDescent="0.35">
      <c r="A24" s="57" t="s">
        <v>40</v>
      </c>
      <c r="B24" s="135">
        <v>123260</v>
      </c>
      <c r="C24" s="136">
        <v>157253</v>
      </c>
      <c r="D24" s="137">
        <v>138436</v>
      </c>
      <c r="E24" s="9"/>
      <c r="F24" s="79"/>
      <c r="G24" s="9"/>
      <c r="H24" s="9"/>
      <c r="I24" s="9"/>
      <c r="K24" s="130"/>
      <c r="L24" s="130"/>
    </row>
    <row r="25" spans="1:12" ht="16.2" thickBot="1" x14ac:dyDescent="0.35">
      <c r="A25" s="57" t="s">
        <v>41</v>
      </c>
      <c r="B25" s="135">
        <v>4322310</v>
      </c>
      <c r="C25" s="136">
        <v>63028</v>
      </c>
      <c r="D25" s="137">
        <v>22333</v>
      </c>
      <c r="E25" s="9"/>
      <c r="F25" s="9"/>
      <c r="G25" s="9"/>
      <c r="H25" s="9"/>
      <c r="I25" s="9"/>
      <c r="K25" s="130"/>
      <c r="L25" s="130"/>
    </row>
    <row r="26" spans="1:12" ht="16.2" thickBot="1" x14ac:dyDescent="0.35">
      <c r="A26" s="57" t="s">
        <v>42</v>
      </c>
      <c r="B26" s="135">
        <v>7376735</v>
      </c>
      <c r="C26" s="136">
        <v>9595221</v>
      </c>
      <c r="D26" s="137">
        <v>13839155</v>
      </c>
      <c r="E26" s="9"/>
      <c r="F26" s="80"/>
      <c r="G26" s="80"/>
      <c r="H26" s="80"/>
      <c r="I26" s="9"/>
      <c r="K26" s="131"/>
      <c r="L26" s="131"/>
    </row>
    <row r="27" spans="1:12" ht="16.2" thickBot="1" x14ac:dyDescent="0.35">
      <c r="A27" s="58" t="s">
        <v>43</v>
      </c>
      <c r="B27" s="138">
        <v>0</v>
      </c>
      <c r="C27" s="139">
        <v>0</v>
      </c>
      <c r="D27" s="140">
        <v>0</v>
      </c>
      <c r="E27" s="9"/>
      <c r="F27" s="9"/>
      <c r="G27" s="9"/>
      <c r="H27" s="9"/>
      <c r="I27" s="9"/>
      <c r="K27" s="130"/>
      <c r="L27" s="130"/>
    </row>
    <row r="28" spans="1:12" ht="16.2" thickBot="1" x14ac:dyDescent="0.35">
      <c r="A28" s="56" t="s">
        <v>21</v>
      </c>
      <c r="B28" s="132">
        <v>58277</v>
      </c>
      <c r="C28" s="133">
        <v>43454</v>
      </c>
      <c r="D28" s="134">
        <v>154520</v>
      </c>
      <c r="E28" s="9"/>
      <c r="F28" s="9"/>
      <c r="G28" s="9"/>
      <c r="H28" s="9"/>
      <c r="I28" s="9"/>
      <c r="K28" s="131"/>
      <c r="L28" s="131"/>
    </row>
    <row r="29" spans="1:12" ht="16.2" thickBot="1" x14ac:dyDescent="0.35">
      <c r="A29" s="56" t="s">
        <v>44</v>
      </c>
      <c r="B29" s="142">
        <v>0</v>
      </c>
      <c r="C29" s="143">
        <v>0</v>
      </c>
      <c r="D29" s="144">
        <v>0</v>
      </c>
      <c r="E29" s="9"/>
      <c r="F29" s="9"/>
      <c r="G29" s="9"/>
      <c r="H29" s="9"/>
      <c r="I29" s="9"/>
    </row>
    <row r="31" spans="1:12" x14ac:dyDescent="0.3">
      <c r="B31" s="75"/>
    </row>
  </sheetData>
  <mergeCells count="2">
    <mergeCell ref="A1:D2"/>
    <mergeCell ref="F1:I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A7AF-2581-4D66-B014-2D1001F776FC}">
  <dimension ref="A1:O59"/>
  <sheetViews>
    <sheetView showGridLines="0" tabSelected="1" zoomScale="80" zoomScaleNormal="80" workbookViewId="0">
      <selection sqref="A1:D2"/>
    </sheetView>
  </sheetViews>
  <sheetFormatPr defaultColWidth="8.88671875" defaultRowHeight="15.6" x14ac:dyDescent="0.3"/>
  <cols>
    <col min="1" max="1" width="34.109375" style="8" customWidth="1"/>
    <col min="2" max="2" width="16.5546875" style="8" customWidth="1"/>
    <col min="3" max="3" width="16.88671875" style="8" customWidth="1"/>
    <col min="4" max="4" width="16.5546875" style="8" customWidth="1"/>
    <col min="5" max="5" width="8.88671875" style="8"/>
    <col min="6" max="6" width="33.33203125" style="8" customWidth="1"/>
    <col min="7" max="9" width="16.6640625" style="8" customWidth="1"/>
    <col min="10" max="10" width="9.109375" style="8" customWidth="1"/>
    <col min="11" max="11" width="16.109375" style="8" customWidth="1"/>
    <col min="12" max="12" width="12.44140625" style="8" customWidth="1"/>
    <col min="13" max="13" width="8.88671875" style="8"/>
    <col min="14" max="14" width="11.109375" style="8" bestFit="1" customWidth="1"/>
    <col min="15" max="16384" width="8.88671875" style="8"/>
  </cols>
  <sheetData>
    <row r="1" spans="1:15" ht="15.6" customHeight="1" x14ac:dyDescent="0.3">
      <c r="A1" s="310" t="s">
        <v>0</v>
      </c>
      <c r="B1" s="310"/>
      <c r="C1" s="310"/>
      <c r="D1" s="310"/>
      <c r="E1" s="92"/>
      <c r="F1" s="311" t="s">
        <v>1</v>
      </c>
      <c r="G1" s="311"/>
      <c r="H1" s="311"/>
      <c r="I1" s="311"/>
    </row>
    <row r="2" spans="1:15" ht="16.2" customHeight="1" thickBot="1" x14ac:dyDescent="0.35">
      <c r="A2" s="310"/>
      <c r="B2" s="310"/>
      <c r="C2" s="310"/>
      <c r="D2" s="310"/>
      <c r="E2" s="92"/>
      <c r="F2" s="311"/>
      <c r="G2" s="311"/>
      <c r="H2" s="311"/>
      <c r="I2" s="311"/>
      <c r="J2" s="104"/>
      <c r="K2" s="270"/>
      <c r="L2" s="270"/>
      <c r="M2" s="20"/>
    </row>
    <row r="3" spans="1:15" ht="16.2" thickBot="1" x14ac:dyDescent="0.35">
      <c r="A3" s="6"/>
      <c r="B3" s="55">
        <v>2019</v>
      </c>
      <c r="C3" s="59">
        <v>2020</v>
      </c>
      <c r="D3" s="7">
        <v>2021</v>
      </c>
      <c r="E3" s="9"/>
      <c r="F3" s="78"/>
      <c r="G3" s="237">
        <v>2019</v>
      </c>
      <c r="H3" s="238">
        <v>2020</v>
      </c>
      <c r="I3" s="231">
        <v>2021</v>
      </c>
      <c r="J3" s="85"/>
      <c r="K3" s="110" t="s">
        <v>45</v>
      </c>
      <c r="L3" s="110" t="s">
        <v>46</v>
      </c>
    </row>
    <row r="4" spans="1:15" ht="16.2" thickBot="1" x14ac:dyDescent="0.35">
      <c r="A4" s="299" t="s">
        <v>2</v>
      </c>
      <c r="B4" s="320">
        <f>G22/'Ratio analysis'!D24</f>
        <v>15814715.015276643</v>
      </c>
      <c r="C4" s="321">
        <f>H22/('Ratio analysis'!D24+'Ratio analysis'!B24)</f>
        <v>17131814.232197151</v>
      </c>
      <c r="D4" s="322">
        <f>I22/('Ratio analysis'!D24+'Ratio analysis'!B24+'Ratio analysis'!B24)</f>
        <v>18618224.920489497</v>
      </c>
      <c r="E4" s="100"/>
      <c r="F4" s="284" t="s">
        <v>3</v>
      </c>
      <c r="G4" s="347">
        <f>'Past performance'!I4*1.106</f>
        <v>44466658.110000007</v>
      </c>
      <c r="H4" s="348">
        <f>G4*1.106</f>
        <v>49180123.869660012</v>
      </c>
      <c r="I4" s="349">
        <f>H4*1.106</f>
        <v>54393216.999843977</v>
      </c>
      <c r="J4" s="85"/>
      <c r="K4" s="111"/>
      <c r="L4" s="112"/>
    </row>
    <row r="5" spans="1:15" ht="16.8" thickTop="1" thickBot="1" x14ac:dyDescent="0.35">
      <c r="A5" s="11" t="s">
        <v>4</v>
      </c>
      <c r="B5" s="323">
        <f>'Past performance'!D5+C32</f>
        <v>4334356</v>
      </c>
      <c r="C5" s="324">
        <f>B5+C32</f>
        <v>4300354</v>
      </c>
      <c r="D5" s="325">
        <f>C5+C32</f>
        <v>4266352</v>
      </c>
      <c r="E5" s="95"/>
      <c r="F5" s="288" t="s">
        <v>5</v>
      </c>
      <c r="G5" s="350">
        <f>0.94*G4</f>
        <v>41798658.623400003</v>
      </c>
      <c r="H5" s="351">
        <f>H4*0.94</f>
        <v>46229316.437480412</v>
      </c>
      <c r="I5" s="352">
        <f>I4*0.9401</f>
        <v>51135063.301553324</v>
      </c>
      <c r="J5" s="85"/>
      <c r="K5" s="145">
        <v>0.94228000000000001</v>
      </c>
      <c r="L5" s="112" t="s">
        <v>47</v>
      </c>
      <c r="N5" s="146"/>
    </row>
    <row r="6" spans="1:15" ht="18" customHeight="1" x14ac:dyDescent="0.3">
      <c r="A6" s="12" t="s">
        <v>6</v>
      </c>
      <c r="B6" s="326">
        <f>B5-B7</f>
        <v>873.94183915201575</v>
      </c>
      <c r="C6" s="327">
        <f>C5-C7</f>
        <v>867.08597165625542</v>
      </c>
      <c r="D6" s="328">
        <f>D5-D7</f>
        <v>860.2301041604951</v>
      </c>
      <c r="E6" s="95"/>
      <c r="F6" s="288" t="s">
        <v>7</v>
      </c>
      <c r="G6" s="350">
        <f>G4-G5</f>
        <v>2667999.4866000041</v>
      </c>
      <c r="H6" s="351">
        <f>H4-H5</f>
        <v>2950807.4321796</v>
      </c>
      <c r="I6" s="352">
        <f>I4-I5</f>
        <v>3258153.6982906535</v>
      </c>
      <c r="J6" s="85"/>
      <c r="K6" s="111"/>
      <c r="L6" s="112"/>
      <c r="O6" s="146"/>
    </row>
    <row r="7" spans="1:15" x14ac:dyDescent="0.3">
      <c r="A7" s="12" t="s">
        <v>8</v>
      </c>
      <c r="B7" s="326">
        <f>B5*B34</f>
        <v>4333482.058160848</v>
      </c>
      <c r="C7" s="327">
        <f>C5*B34</f>
        <v>4299486.9140283437</v>
      </c>
      <c r="D7" s="328">
        <f>D5*B34</f>
        <v>4265491.7698958395</v>
      </c>
      <c r="E7" s="95"/>
      <c r="F7" s="284" t="s">
        <v>9</v>
      </c>
      <c r="G7" s="353">
        <f>(0.94024+K7)*G4</f>
        <v>41287736.721716106</v>
      </c>
      <c r="H7" s="239">
        <f>(0.94024+2*K7)*H4</f>
        <v>45087353.961226903</v>
      </c>
      <c r="I7" s="354">
        <f>(0.94024+3*K7)*I4</f>
        <v>49228581.04570879</v>
      </c>
      <c r="J7" s="85"/>
      <c r="K7" s="111">
        <f>((0.95711-0.9637)+(0.94024-0.95711))/2</f>
        <v>-1.1730000000000018E-2</v>
      </c>
      <c r="L7" s="112"/>
    </row>
    <row r="8" spans="1:15" ht="16.2" customHeight="1" thickBot="1" x14ac:dyDescent="0.35">
      <c r="A8" s="13" t="s">
        <v>10</v>
      </c>
      <c r="B8" s="329">
        <v>0</v>
      </c>
      <c r="C8" s="330">
        <v>0</v>
      </c>
      <c r="D8" s="331">
        <v>0</v>
      </c>
      <c r="E8" s="95"/>
      <c r="F8" s="288" t="s">
        <v>11</v>
      </c>
      <c r="G8" s="350">
        <f>(0.784-3.9%)*G4</f>
        <v>33127660.291950006</v>
      </c>
      <c r="H8" s="351">
        <f>(0.784-2*3.7%)*H4</f>
        <v>34917887.94745861</v>
      </c>
      <c r="I8" s="352">
        <f>(0.784-3*3.63%)*I4</f>
        <v>36720860.796594672</v>
      </c>
      <c r="J8" s="85"/>
      <c r="K8" s="111">
        <f>(0.78357-0.86696)/2</f>
        <v>-4.1694999999999982E-2</v>
      </c>
      <c r="L8" s="112"/>
    </row>
    <row r="9" spans="1:15" ht="16.2" thickBot="1" x14ac:dyDescent="0.35">
      <c r="A9" s="11" t="s">
        <v>12</v>
      </c>
      <c r="B9" s="323">
        <f>B4-B5-B14</f>
        <v>11202968.91390869</v>
      </c>
      <c r="C9" s="324">
        <f>C4-C5-C14</f>
        <v>12674618.472901385</v>
      </c>
      <c r="D9" s="325">
        <f>D4-D5-D14</f>
        <v>14181423.071342416</v>
      </c>
      <c r="E9" s="96"/>
      <c r="F9" s="288" t="s">
        <v>126</v>
      </c>
      <c r="G9" s="350">
        <f>(0.11256+K9)*G4</f>
        <v>5546326.2660603002</v>
      </c>
      <c r="H9" s="351">
        <f>(0.11256+2*K9)*H4</f>
        <v>6732758.9577564541</v>
      </c>
      <c r="I9" s="352">
        <f>(0.11256+3*K9)*I4</f>
        <v>8108396.8581667403</v>
      </c>
      <c r="J9" s="85"/>
      <c r="K9" s="111">
        <f>(0.11256-0.08822)/2</f>
        <v>1.2169999999999993E-2</v>
      </c>
      <c r="L9" s="112"/>
    </row>
    <row r="10" spans="1:15" ht="15.6" customHeight="1" x14ac:dyDescent="0.3">
      <c r="A10" s="12" t="s">
        <v>13</v>
      </c>
      <c r="B10" s="326">
        <f>B4*C37</f>
        <v>1807068.4112205857</v>
      </c>
      <c r="C10" s="327">
        <f>C4*C37</f>
        <v>1957566.7532420075</v>
      </c>
      <c r="D10" s="328">
        <f>D4*C37</f>
        <v>2127411.4705397324</v>
      </c>
      <c r="E10" s="95"/>
      <c r="F10" s="288" t="s">
        <v>14</v>
      </c>
      <c r="G10" s="350">
        <f>G4*K10</f>
        <v>592592.33041260007</v>
      </c>
      <c r="H10" s="351">
        <f>H4*K10</f>
        <v>655407.11743633577</v>
      </c>
      <c r="I10" s="352">
        <f>I4*K10</f>
        <v>724880.27188458748</v>
      </c>
      <c r="J10" s="85"/>
      <c r="K10" s="111">
        <f>(0.01564+0.01663+0.00771)/3</f>
        <v>1.3326666666666667E-2</v>
      </c>
      <c r="L10" s="112" t="s">
        <v>48</v>
      </c>
    </row>
    <row r="11" spans="1:15" ht="16.2" customHeight="1" thickBot="1" x14ac:dyDescent="0.35">
      <c r="A11" s="12" t="s">
        <v>15</v>
      </c>
      <c r="B11" s="326">
        <f>'Past performance'!D11</f>
        <v>127877</v>
      </c>
      <c r="C11" s="327">
        <f>B11</f>
        <v>127877</v>
      </c>
      <c r="D11" s="328">
        <f>C11</f>
        <v>127877</v>
      </c>
      <c r="E11" s="95"/>
      <c r="F11" s="289" t="s">
        <v>16</v>
      </c>
      <c r="G11" s="355">
        <f>G7-G8-G9-G10</f>
        <v>2021157.8332931995</v>
      </c>
      <c r="H11" s="356">
        <f>H7-H8-H9-H10</f>
        <v>2781299.938575503</v>
      </c>
      <c r="I11" s="357">
        <f>I7-I8-I9-I10</f>
        <v>3674443.1190627906</v>
      </c>
      <c r="J11" s="85"/>
      <c r="K11" s="111"/>
      <c r="L11" s="112"/>
    </row>
    <row r="12" spans="1:15" ht="16.2" customHeight="1" thickBot="1" x14ac:dyDescent="0.35">
      <c r="A12" s="12" t="s">
        <v>17</v>
      </c>
      <c r="B12" s="326">
        <f>B4*C39</f>
        <v>4420370.9939199742</v>
      </c>
      <c r="C12" s="327">
        <f>C4*(C39+B39)</f>
        <v>5426073.862692642</v>
      </c>
      <c r="D12" s="328">
        <f>D4*(C39+B39+B39)</f>
        <v>6589734.5283580525</v>
      </c>
      <c r="E12" s="95"/>
      <c r="F12" s="285" t="s">
        <v>18</v>
      </c>
      <c r="G12" s="358">
        <f>(0.05976+K12)*G4</f>
        <v>3178921.3882839005</v>
      </c>
      <c r="H12" s="359">
        <f>(0.05976+2*K12)*H4</f>
        <v>4092769.9084331063</v>
      </c>
      <c r="I12" s="360">
        <f>(0.05976+3*K12)*I4</f>
        <v>5164635.954135186</v>
      </c>
      <c r="J12" s="85"/>
      <c r="K12" s="111">
        <f>(0.05976-0.0363)/2</f>
        <v>1.1730000000000001E-2</v>
      </c>
      <c r="L12" s="112"/>
      <c r="M12" s="86"/>
    </row>
    <row r="13" spans="1:15" ht="16.2" thickBot="1" x14ac:dyDescent="0.35">
      <c r="A13" s="13" t="s">
        <v>19</v>
      </c>
      <c r="B13" s="329">
        <f>B9-B10-B11-B12</f>
        <v>4847652.5087681301</v>
      </c>
      <c r="C13" s="330">
        <f>C9-C10-C11-C12</f>
        <v>5163100.8569667349</v>
      </c>
      <c r="D13" s="331">
        <f>D9-D10-D11-D12</f>
        <v>5336400.0724446317</v>
      </c>
      <c r="E13" s="95"/>
      <c r="F13" s="285" t="s">
        <v>20</v>
      </c>
      <c r="G13" s="358">
        <f>(0.16+3.5%)*G4</f>
        <v>8670998.3314500023</v>
      </c>
      <c r="H13" s="359">
        <f>(0.16+2*3.5%)*H4</f>
        <v>11311428.490021802</v>
      </c>
      <c r="I13" s="360">
        <f>(0.16+3*3.5%)*I4</f>
        <v>14414202.504958654</v>
      </c>
      <c r="J13" s="85"/>
      <c r="K13" s="113">
        <f>(0.15871-0.10684)/2</f>
        <v>2.5934999999999993E-2</v>
      </c>
      <c r="L13" s="112"/>
      <c r="N13" s="89"/>
    </row>
    <row r="14" spans="1:15" ht="16.2" thickBot="1" x14ac:dyDescent="0.35">
      <c r="A14" s="11" t="s">
        <v>21</v>
      </c>
      <c r="B14" s="323">
        <f>B4*C41</f>
        <v>277390.1013679523</v>
      </c>
      <c r="C14" s="324">
        <f>C4*(C41+B41)</f>
        <v>156841.7592957649</v>
      </c>
      <c r="D14" s="325">
        <f>D4*(C41+B41)</f>
        <v>170449.84914708135</v>
      </c>
      <c r="E14" s="10"/>
      <c r="F14" s="286" t="s">
        <v>22</v>
      </c>
      <c r="G14" s="361">
        <f>G4*K14</f>
        <v>3112.6660677000009</v>
      </c>
      <c r="H14" s="362">
        <f>H4*K14</f>
        <v>3442.6086708762014</v>
      </c>
      <c r="I14" s="363">
        <f>I4*K14</f>
        <v>3807.5251899890786</v>
      </c>
      <c r="J14" s="85"/>
      <c r="K14" s="114">
        <f>(0.003%+0.01%+0.008%)/3</f>
        <v>7.0000000000000007E-5</v>
      </c>
      <c r="L14" s="112" t="s">
        <v>48</v>
      </c>
    </row>
    <row r="15" spans="1:15" ht="16.2" thickBot="1" x14ac:dyDescent="0.35">
      <c r="A15" s="11" t="s">
        <v>23</v>
      </c>
      <c r="B15" s="323">
        <v>0</v>
      </c>
      <c r="C15" s="324">
        <v>0</v>
      </c>
      <c r="D15" s="325">
        <v>0</v>
      </c>
      <c r="E15" s="95"/>
      <c r="F15" s="286" t="s">
        <v>24</v>
      </c>
      <c r="G15" s="361">
        <f>G4*K15</f>
        <v>531376.56441450014</v>
      </c>
      <c r="H15" s="362">
        <f>H4*K15</f>
        <v>587702.48024243722</v>
      </c>
      <c r="I15" s="363">
        <f>I4*K15</f>
        <v>649998.94314813556</v>
      </c>
      <c r="J15" s="85"/>
      <c r="K15" s="114">
        <f>(1.29%+1.376%+0.919%)/3</f>
        <v>1.1950000000000001E-2</v>
      </c>
      <c r="L15" s="112" t="s">
        <v>48</v>
      </c>
      <c r="N15" s="75"/>
    </row>
    <row r="16" spans="1:15" ht="16.2" thickBot="1" x14ac:dyDescent="0.35">
      <c r="A16" s="299" t="s">
        <v>25</v>
      </c>
      <c r="B16" s="320">
        <f>G22/'Ratio analysis'!D24</f>
        <v>15814715.015276643</v>
      </c>
      <c r="C16" s="321">
        <f>H22/('Ratio analysis'!D24+'Ratio analysis'!B24)</f>
        <v>17131814.232197151</v>
      </c>
      <c r="D16" s="322">
        <f>I22/('Ratio analysis'!D24+'Ratio analysis'!B24+'Ratio analysis'!B24)</f>
        <v>18618224.920489497</v>
      </c>
      <c r="E16" s="96"/>
      <c r="F16" s="290" t="s">
        <v>26</v>
      </c>
      <c r="G16" s="364">
        <v>0</v>
      </c>
      <c r="H16" s="365">
        <v>0</v>
      </c>
      <c r="I16" s="366">
        <v>0</v>
      </c>
      <c r="J16" s="85"/>
      <c r="K16" s="111"/>
      <c r="L16" s="112"/>
      <c r="N16" s="76"/>
    </row>
    <row r="17" spans="1:15" ht="16.8" thickTop="1" thickBot="1" x14ac:dyDescent="0.35">
      <c r="A17" s="11" t="s">
        <v>27</v>
      </c>
      <c r="B17" s="323">
        <f>B18+B19+B20+B21+B22</f>
        <v>2122079.2738301009</v>
      </c>
      <c r="C17" s="332">
        <f>C18+C19+C20+C21+C22</f>
        <v>2802243.0549469851</v>
      </c>
      <c r="D17" s="325">
        <f>D18+D19+D20+D21+D22</f>
        <v>3592786.109544266</v>
      </c>
      <c r="E17" s="94"/>
      <c r="F17" s="285" t="s">
        <v>28</v>
      </c>
      <c r="G17" s="358">
        <f>-1.188%*G4</f>
        <v>-528263.89834680012</v>
      </c>
      <c r="H17" s="359">
        <f>-1.188%*H4</f>
        <v>-584259.87157156097</v>
      </c>
      <c r="I17" s="360">
        <f>-1.188%*I4</f>
        <v>-646191.41795814643</v>
      </c>
      <c r="J17" s="85"/>
      <c r="K17" s="114">
        <f>(-1.366%-1.288%-0.911%)/3</f>
        <v>-1.1883333333333334E-2</v>
      </c>
      <c r="L17" s="112" t="s">
        <v>48</v>
      </c>
      <c r="N17" s="147"/>
      <c r="O17" s="90"/>
    </row>
    <row r="18" spans="1:15" ht="16.2" thickBot="1" x14ac:dyDescent="0.35">
      <c r="A18" s="12" t="s">
        <v>29</v>
      </c>
      <c r="B18" s="326">
        <v>6639</v>
      </c>
      <c r="C18" s="327">
        <v>6639</v>
      </c>
      <c r="D18" s="328">
        <v>6639</v>
      </c>
      <c r="E18" s="93"/>
      <c r="F18" s="285" t="s">
        <v>30</v>
      </c>
      <c r="G18" s="358">
        <f>(4.9%+1.061%)*G4</f>
        <v>2650657.4899371006</v>
      </c>
      <c r="H18" s="359">
        <f>(4.9%+2*1.117%)*H4</f>
        <v>3508510.0368615454</v>
      </c>
      <c r="I18" s="367">
        <f>(4.9%+3*1.135667%)*I4</f>
        <v>4518445.0801092088</v>
      </c>
      <c r="J18" s="85"/>
      <c r="K18" s="111">
        <f>(5.064%-2.342%)/2</f>
        <v>1.3609999999999999E-2</v>
      </c>
      <c r="L18" s="112"/>
      <c r="N18" s="147"/>
    </row>
    <row r="19" spans="1:15" ht="15.6" customHeight="1" thickBot="1" x14ac:dyDescent="0.35">
      <c r="A19" s="12" t="s">
        <v>31</v>
      </c>
      <c r="B19" s="326">
        <v>664</v>
      </c>
      <c r="C19" s="327">
        <v>664</v>
      </c>
      <c r="D19" s="328">
        <v>664</v>
      </c>
      <c r="E19" s="93"/>
      <c r="F19" s="290" t="s">
        <v>32</v>
      </c>
      <c r="G19" s="364">
        <f>(1.1%+0.27%)*G4</f>
        <v>609193.21610700013</v>
      </c>
      <c r="H19" s="365">
        <f>(1.1%+2*0.25%)*H4</f>
        <v>786881.98191456019</v>
      </c>
      <c r="I19" s="366">
        <f>(1.1%+3*0.25%)*I4</f>
        <v>1006274.5144971138</v>
      </c>
      <c r="J19" s="85"/>
      <c r="K19" s="111">
        <f>(1.161%-0.552%)/2</f>
        <v>3.045E-3</v>
      </c>
      <c r="L19" s="112"/>
      <c r="N19" s="75"/>
      <c r="O19" s="75"/>
    </row>
    <row r="20" spans="1:15" ht="15.6" customHeight="1" thickBot="1" x14ac:dyDescent="0.35">
      <c r="A20" s="12" t="s">
        <v>33</v>
      </c>
      <c r="B20" s="326">
        <v>0</v>
      </c>
      <c r="C20" s="327">
        <v>0</v>
      </c>
      <c r="D20" s="328">
        <v>0</v>
      </c>
      <c r="E20" s="93"/>
      <c r="F20" s="285" t="s">
        <v>34</v>
      </c>
      <c r="G20" s="368">
        <f>(3.6%+0.991%)*G4</f>
        <v>2041464.2738301007</v>
      </c>
      <c r="H20" s="369">
        <f>(3.6%+2*0.967%)*H4</f>
        <v>2721628.0549469851</v>
      </c>
      <c r="I20" s="367">
        <f>(3.6%+3*0.952334%)*I4</f>
        <v>3512171.109544266</v>
      </c>
      <c r="J20" s="85"/>
      <c r="K20" s="114">
        <f>(3.904%-1.79%)/2</f>
        <v>1.057E-2</v>
      </c>
      <c r="L20" s="112"/>
      <c r="N20" s="148"/>
    </row>
    <row r="21" spans="1:15" ht="16.2" thickBot="1" x14ac:dyDescent="0.35">
      <c r="A21" s="12" t="s">
        <v>35</v>
      </c>
      <c r="B21" s="326">
        <v>73312</v>
      </c>
      <c r="C21" s="333">
        <v>73312</v>
      </c>
      <c r="D21" s="334">
        <v>73312</v>
      </c>
      <c r="E21" s="95"/>
      <c r="F21" s="285" t="s">
        <v>36</v>
      </c>
      <c r="G21" s="358">
        <v>0</v>
      </c>
      <c r="H21" s="359">
        <v>0</v>
      </c>
      <c r="I21" s="360">
        <v>0</v>
      </c>
      <c r="J21" s="85"/>
      <c r="K21" s="111"/>
      <c r="L21" s="112"/>
    </row>
    <row r="22" spans="1:15" ht="16.2" thickBot="1" x14ac:dyDescent="0.35">
      <c r="A22" s="13" t="s">
        <v>37</v>
      </c>
      <c r="B22" s="329">
        <f>G22</f>
        <v>2041464.2738301007</v>
      </c>
      <c r="C22" s="330">
        <f>H22</f>
        <v>2721628.0549469851</v>
      </c>
      <c r="D22" s="331">
        <f>I22</f>
        <v>3512171.109544266</v>
      </c>
      <c r="E22" s="94"/>
      <c r="F22" s="287" t="s">
        <v>38</v>
      </c>
      <c r="G22" s="368">
        <f>G20</f>
        <v>2041464.2738301007</v>
      </c>
      <c r="H22" s="369">
        <f>H20</f>
        <v>2721628.0549469851</v>
      </c>
      <c r="I22" s="367">
        <f>I20</f>
        <v>3512171.109544266</v>
      </c>
      <c r="J22" s="85"/>
      <c r="K22" s="114">
        <f>(3.904%-1.79%)/2</f>
        <v>1.057E-2</v>
      </c>
      <c r="L22" s="112"/>
    </row>
    <row r="23" spans="1:15" ht="16.2" thickBot="1" x14ac:dyDescent="0.35">
      <c r="A23" s="11" t="s">
        <v>39</v>
      </c>
      <c r="B23" s="335">
        <f>B16*C50</f>
        <v>13508376.051023772</v>
      </c>
      <c r="C23" s="336">
        <f>C16*(C50+B50)</f>
        <v>14091259.842266798</v>
      </c>
      <c r="D23" s="337">
        <f>D16*(C50+B50+B50)</f>
        <v>14724688.63399213</v>
      </c>
      <c r="E23" s="97"/>
      <c r="F23" s="20"/>
      <c r="G23" s="85"/>
      <c r="H23" s="85"/>
      <c r="I23" s="85"/>
      <c r="J23" s="85"/>
    </row>
    <row r="24" spans="1:15" x14ac:dyDescent="0.3">
      <c r="A24" s="57" t="s">
        <v>40</v>
      </c>
      <c r="B24" s="338">
        <f>B16*C51</f>
        <v>129522.51597511569</v>
      </c>
      <c r="C24" s="339">
        <f>C16*(C51+B51)</f>
        <v>130544.42444934227</v>
      </c>
      <c r="D24" s="340">
        <f>D16*(C51+B51+B51)</f>
        <v>131258.48568945093</v>
      </c>
      <c r="E24" s="19"/>
      <c r="F24" s="19"/>
      <c r="G24" s="240"/>
      <c r="H24" s="240"/>
      <c r="I24" s="240"/>
      <c r="J24" s="104"/>
      <c r="N24" s="99"/>
    </row>
    <row r="25" spans="1:15" x14ac:dyDescent="0.3">
      <c r="A25" s="57" t="s">
        <v>41</v>
      </c>
      <c r="B25" s="341">
        <f>B16*B52</f>
        <v>22298.748171540065</v>
      </c>
      <c r="C25" s="327">
        <f>C16*B52</f>
        <v>24155.858067397981</v>
      </c>
      <c r="D25" s="342">
        <f>D16*B52</f>
        <v>26251.697137890191</v>
      </c>
      <c r="E25" s="19"/>
      <c r="F25" s="241"/>
      <c r="G25" s="242"/>
      <c r="H25" s="242"/>
      <c r="I25" s="242"/>
      <c r="J25" s="104"/>
    </row>
    <row r="26" spans="1:15" x14ac:dyDescent="0.3">
      <c r="A26" s="57" t="s">
        <v>42</v>
      </c>
      <c r="B26" s="341">
        <f>B23-B24-B25</f>
        <v>13356554.786877116</v>
      </c>
      <c r="C26" s="327">
        <f>C23-C24-C25</f>
        <v>13936559.559750058</v>
      </c>
      <c r="D26" s="343">
        <f>D23-D24-D25</f>
        <v>14567178.451164789</v>
      </c>
      <c r="E26" s="19"/>
      <c r="F26" s="149"/>
      <c r="G26" s="150"/>
      <c r="H26" s="151"/>
      <c r="I26" s="151"/>
      <c r="J26" s="20"/>
    </row>
    <row r="27" spans="1:15" ht="16.2" thickBot="1" x14ac:dyDescent="0.35">
      <c r="A27" s="58" t="s">
        <v>43</v>
      </c>
      <c r="B27" s="344">
        <v>0</v>
      </c>
      <c r="C27" s="345">
        <v>0</v>
      </c>
      <c r="D27" s="346">
        <v>0</v>
      </c>
      <c r="E27" s="98"/>
      <c r="F27" s="152"/>
      <c r="G27" s="153"/>
      <c r="H27" s="151"/>
      <c r="I27" s="151"/>
      <c r="J27" s="20"/>
    </row>
    <row r="28" spans="1:15" ht="16.2" thickBot="1" x14ac:dyDescent="0.35">
      <c r="A28" s="11" t="s">
        <v>21</v>
      </c>
      <c r="B28" s="323">
        <f>B16-B17-B23</f>
        <v>184259.69042276964</v>
      </c>
      <c r="C28" s="324">
        <f>C16-C17-C23</f>
        <v>238311.33498336747</v>
      </c>
      <c r="D28" s="325">
        <f>D16-D17-D23</f>
        <v>300750.17695310153</v>
      </c>
      <c r="E28" s="98"/>
      <c r="F28" s="154"/>
      <c r="G28" s="155"/>
      <c r="H28" s="155"/>
      <c r="I28" s="155"/>
      <c r="J28" s="20"/>
    </row>
    <row r="29" spans="1:15" ht="16.2" thickBot="1" x14ac:dyDescent="0.35">
      <c r="A29" s="11" t="s">
        <v>44</v>
      </c>
      <c r="B29" s="323">
        <v>0</v>
      </c>
      <c r="C29" s="324">
        <v>0</v>
      </c>
      <c r="D29" s="325">
        <v>0</v>
      </c>
      <c r="E29" s="98"/>
      <c r="F29" s="152"/>
      <c r="G29" s="151"/>
      <c r="H29" s="151"/>
      <c r="I29" s="151"/>
      <c r="J29" s="20"/>
    </row>
    <row r="30" spans="1:15" x14ac:dyDescent="0.3">
      <c r="A30" s="107"/>
      <c r="B30" s="107"/>
      <c r="C30" s="107"/>
      <c r="D30" s="107"/>
      <c r="E30" s="261"/>
      <c r="F30" s="156"/>
      <c r="G30" s="151"/>
      <c r="H30" s="151"/>
      <c r="I30" s="151"/>
      <c r="J30" s="20"/>
    </row>
    <row r="31" spans="1:15" x14ac:dyDescent="0.3">
      <c r="A31" s="157" t="s">
        <v>49</v>
      </c>
      <c r="B31" s="157"/>
      <c r="C31" s="158"/>
      <c r="D31" s="159"/>
      <c r="E31" s="262"/>
      <c r="F31" s="156"/>
      <c r="G31" s="151"/>
      <c r="H31" s="151"/>
      <c r="I31" s="151"/>
      <c r="J31" s="20"/>
    </row>
    <row r="32" spans="1:15" x14ac:dyDescent="0.3">
      <c r="A32" s="160" t="s">
        <v>50</v>
      </c>
      <c r="B32" s="161"/>
      <c r="C32" s="162">
        <f>'Past performance'!D5-'Past performance'!C5</f>
        <v>-34002</v>
      </c>
      <c r="D32" s="263">
        <f>('Past performance'!B5/'Past performance'!B4+'Past performance'!C5/'Past performance'!C4+'Past performance'!D5/'Past performance'!D4)/3</f>
        <v>0.35476702414095801</v>
      </c>
      <c r="E32" s="255"/>
      <c r="F32" s="152"/>
      <c r="G32" s="153"/>
      <c r="H32" s="151"/>
      <c r="I32" s="151"/>
      <c r="J32" s="20"/>
    </row>
    <row r="33" spans="1:10" ht="15.75" customHeight="1" x14ac:dyDescent="0.3">
      <c r="A33" s="163" t="s">
        <v>51</v>
      </c>
      <c r="B33" s="164">
        <v>1.5E-5</v>
      </c>
      <c r="C33" s="165">
        <f>('Past performance'!B6/'Past performance'!B5+'Past performance'!C6/'Past performance'!C5+'Past performance'!D6/'Past performance'!D5)/3</f>
        <v>2.0163130097100132E-4</v>
      </c>
      <c r="D33" s="264"/>
      <c r="E33" s="255"/>
      <c r="F33" s="166"/>
      <c r="G33" s="155"/>
      <c r="H33" s="155"/>
      <c r="I33" s="155"/>
      <c r="J33" s="20"/>
    </row>
    <row r="34" spans="1:10" ht="15.75" customHeight="1" x14ac:dyDescent="0.3">
      <c r="A34" s="163" t="s">
        <v>52</v>
      </c>
      <c r="B34" s="165">
        <f>('Past performance'!B7/'Past performance'!B5+'Past performance'!C7/'Past performance'!C5+'Past performance'!D7/'Past performance'!D5)/3</f>
        <v>0.99979836869902894</v>
      </c>
      <c r="C34" s="165"/>
      <c r="D34" s="264"/>
      <c r="E34" s="255"/>
      <c r="F34" s="167"/>
      <c r="G34" s="155"/>
      <c r="H34" s="155"/>
      <c r="I34" s="155"/>
      <c r="J34" s="20"/>
    </row>
    <row r="35" spans="1:10" x14ac:dyDescent="0.3">
      <c r="A35" s="163" t="s">
        <v>53</v>
      </c>
      <c r="B35" s="165"/>
      <c r="C35" s="165"/>
      <c r="D35" s="264"/>
      <c r="E35" s="255"/>
      <c r="F35" s="154"/>
      <c r="G35" s="155"/>
      <c r="H35" s="155"/>
      <c r="I35" s="155"/>
      <c r="J35" s="20"/>
    </row>
    <row r="36" spans="1:10" x14ac:dyDescent="0.3">
      <c r="A36" s="160" t="s">
        <v>54</v>
      </c>
      <c r="B36" s="164">
        <f>((0.54927-0.58832)+(0.70607-0.54927))/2</f>
        <v>5.8875000000000011E-2</v>
      </c>
      <c r="C36" s="164">
        <f>0.70607</f>
        <v>0.70606999999999998</v>
      </c>
      <c r="D36" s="263">
        <f>('Past performance'!B9/'Past performance'!B4+'Past performance'!C9/'Past performance'!C4+'Past performance'!D9/'Past performance'!D4)/3</f>
        <v>0.61452486591836686</v>
      </c>
      <c r="E36" s="255"/>
      <c r="F36" s="168"/>
      <c r="G36" s="151"/>
      <c r="H36" s="155"/>
      <c r="I36" s="155"/>
      <c r="J36" s="20"/>
    </row>
    <row r="37" spans="1:10" x14ac:dyDescent="0.3">
      <c r="A37" s="163" t="s">
        <v>55</v>
      </c>
      <c r="B37" s="165">
        <f>((0.13418-0.04618)+(0.09157-0.13418))/2</f>
        <v>2.2695E-2</v>
      </c>
      <c r="C37" s="165">
        <f>0.09157+B37</f>
        <v>0.11426500000000001</v>
      </c>
      <c r="D37" s="265">
        <f>('Past performance'!B10/'Past performance'!B9+'Past performance'!C10/'Past performance'!C9+'Past performance'!D10/'Past performance'!D9)/3</f>
        <v>0.15082761147121779</v>
      </c>
      <c r="E37" s="255"/>
      <c r="F37" s="168"/>
      <c r="G37" s="151"/>
      <c r="H37" s="151"/>
      <c r="I37" s="151"/>
      <c r="J37" s="20"/>
    </row>
    <row r="38" spans="1:10" x14ac:dyDescent="0.3">
      <c r="A38" s="163" t="s">
        <v>56</v>
      </c>
      <c r="B38" s="164">
        <v>8.09E-3</v>
      </c>
      <c r="C38" s="165"/>
      <c r="D38" s="264"/>
      <c r="E38" s="255"/>
      <c r="F38" s="168"/>
      <c r="G38" s="169"/>
      <c r="H38" s="169"/>
      <c r="I38" s="169"/>
      <c r="J38" s="20"/>
    </row>
    <row r="39" spans="1:10" x14ac:dyDescent="0.3">
      <c r="A39" s="163" t="s">
        <v>57</v>
      </c>
      <c r="B39" s="164">
        <f>((0.18414-0.20508)+(0.27951-0.18414))/2</f>
        <v>3.7214999999999984E-2</v>
      </c>
      <c r="C39" s="164">
        <v>0.27950999999999998</v>
      </c>
      <c r="D39" s="264"/>
      <c r="E39" s="255"/>
      <c r="F39" s="168"/>
      <c r="G39" s="151"/>
      <c r="H39" s="151"/>
      <c r="I39" s="155"/>
      <c r="J39" s="20"/>
    </row>
    <row r="40" spans="1:10" x14ac:dyDescent="0.3">
      <c r="A40" s="163" t="s">
        <v>58</v>
      </c>
      <c r="B40" s="165"/>
      <c r="C40" s="165"/>
      <c r="D40" s="264"/>
      <c r="E40" s="255"/>
      <c r="F40" s="149"/>
      <c r="G40" s="151"/>
      <c r="H40" s="151"/>
      <c r="I40" s="151"/>
      <c r="J40" s="20"/>
    </row>
    <row r="41" spans="1:10" x14ac:dyDescent="0.3">
      <c r="A41" s="160" t="s">
        <v>59</v>
      </c>
      <c r="B41" s="164">
        <f>((0.04028-0.03431)+(0.01754-0.04028))/2</f>
        <v>-8.3850000000000001E-3</v>
      </c>
      <c r="C41" s="164">
        <f>0.01754</f>
        <v>1.754E-2</v>
      </c>
      <c r="D41" s="266"/>
      <c r="E41" s="255"/>
      <c r="F41" s="170"/>
      <c r="G41" s="155"/>
      <c r="H41" s="155"/>
      <c r="I41" s="155"/>
      <c r="J41" s="20"/>
    </row>
    <row r="42" spans="1:10" x14ac:dyDescent="0.3">
      <c r="A42" s="160" t="s">
        <v>60</v>
      </c>
      <c r="B42" s="161"/>
      <c r="C42" s="161"/>
      <c r="D42" s="266"/>
      <c r="E42" s="255"/>
      <c r="F42" s="154"/>
      <c r="G42" s="171"/>
      <c r="H42" s="172"/>
      <c r="I42" s="155"/>
      <c r="J42" s="20"/>
    </row>
    <row r="43" spans="1:10" x14ac:dyDescent="0.3">
      <c r="A43" s="173"/>
      <c r="B43" s="174"/>
      <c r="C43" s="175"/>
      <c r="D43" s="267"/>
      <c r="E43" s="256"/>
      <c r="F43" s="154"/>
      <c r="G43" s="155"/>
      <c r="H43" s="155"/>
      <c r="I43" s="155"/>
      <c r="J43" s="20"/>
    </row>
    <row r="44" spans="1:10" x14ac:dyDescent="0.3">
      <c r="A44" s="176" t="s">
        <v>61</v>
      </c>
      <c r="B44" s="177"/>
      <c r="C44" s="178"/>
      <c r="D44" s="266"/>
      <c r="E44" s="255"/>
      <c r="F44" s="258"/>
      <c r="G44" s="76"/>
    </row>
    <row r="45" spans="1:10" x14ac:dyDescent="0.3">
      <c r="A45" s="179" t="s">
        <v>62</v>
      </c>
      <c r="B45" s="180"/>
      <c r="C45" s="180"/>
      <c r="D45" s="264"/>
      <c r="E45" s="255"/>
      <c r="F45" s="259"/>
      <c r="G45" s="76"/>
    </row>
    <row r="46" spans="1:10" x14ac:dyDescent="0.3">
      <c r="A46" s="179" t="s">
        <v>63</v>
      </c>
      <c r="B46" s="180"/>
      <c r="C46" s="180"/>
      <c r="D46" s="264"/>
      <c r="E46" s="255"/>
      <c r="F46" s="259"/>
      <c r="G46" s="76"/>
    </row>
    <row r="47" spans="1:10" x14ac:dyDescent="0.3">
      <c r="A47" s="179" t="s">
        <v>64</v>
      </c>
      <c r="B47" s="180"/>
      <c r="C47" s="180"/>
      <c r="D47" s="264"/>
      <c r="E47" s="255"/>
      <c r="F47" s="20"/>
    </row>
    <row r="48" spans="1:10" x14ac:dyDescent="0.3">
      <c r="A48" s="179" t="s">
        <v>65</v>
      </c>
      <c r="B48" s="180"/>
      <c r="C48" s="180"/>
      <c r="D48" s="264"/>
      <c r="E48" s="255"/>
      <c r="F48" s="259"/>
      <c r="G48" s="76"/>
    </row>
    <row r="49" spans="1:9" x14ac:dyDescent="0.3">
      <c r="A49" s="179" t="s">
        <v>66</v>
      </c>
      <c r="B49" s="180"/>
      <c r="C49" s="180"/>
      <c r="D49" s="264"/>
      <c r="E49" s="255"/>
      <c r="F49" s="20"/>
    </row>
    <row r="50" spans="1:9" x14ac:dyDescent="0.3">
      <c r="A50" s="176" t="s">
        <v>67</v>
      </c>
      <c r="B50" s="161">
        <f>((0.91514-0.9491)+(0.88581-0.91514))/2</f>
        <v>-3.1645000000000034E-2</v>
      </c>
      <c r="C50" s="181">
        <f>0.88581+B50</f>
        <v>0.85416499999999995</v>
      </c>
      <c r="D50" s="266"/>
      <c r="E50" s="255"/>
      <c r="F50" s="259"/>
      <c r="G50" s="75"/>
    </row>
    <row r="51" spans="1:9" x14ac:dyDescent="0.3">
      <c r="A51" s="179" t="s">
        <v>68</v>
      </c>
      <c r="B51" s="165">
        <f>((0.01466-0.0099)+(0.00876-0.01466))/2</f>
        <v>-5.7000000000000019E-4</v>
      </c>
      <c r="C51" s="182">
        <f>0.00876+B51</f>
        <v>8.1899999999999994E-3</v>
      </c>
      <c r="D51" s="265">
        <f>('Past performance'!B24/'Past performance'!B23+'Past performance'!C24/'Past performance'!C23+'Past performance'!D24/'Past performance'!D23)/3</f>
        <v>1.211175876047503E-2</v>
      </c>
      <c r="E51" s="255"/>
      <c r="F51" s="260"/>
      <c r="G51" s="75"/>
      <c r="H51" s="75"/>
      <c r="I51" s="75"/>
    </row>
    <row r="52" spans="1:9" x14ac:dyDescent="0.3">
      <c r="A52" s="179" t="s">
        <v>69</v>
      </c>
      <c r="B52" s="182">
        <f>0.00141</f>
        <v>1.41E-3</v>
      </c>
      <c r="C52" s="182">
        <f>B25/B16</f>
        <v>1.41E-3</v>
      </c>
      <c r="D52" s="264"/>
      <c r="E52" s="255"/>
      <c r="F52" s="260"/>
      <c r="G52" s="183"/>
      <c r="H52" s="75"/>
    </row>
    <row r="53" spans="1:9" x14ac:dyDescent="0.3">
      <c r="A53" s="179" t="s">
        <v>70</v>
      </c>
      <c r="B53" s="165">
        <f>0.87564-0.89461</f>
        <v>-1.8970000000000042E-2</v>
      </c>
      <c r="C53" s="165">
        <f>0.87564+B53</f>
        <v>0.85666999999999993</v>
      </c>
      <c r="D53" s="264"/>
      <c r="E53" s="255"/>
      <c r="F53" s="260"/>
      <c r="G53" s="75"/>
      <c r="H53" s="75"/>
    </row>
    <row r="54" spans="1:9" x14ac:dyDescent="0.3">
      <c r="A54" s="179" t="s">
        <v>71</v>
      </c>
      <c r="B54" s="180"/>
      <c r="C54" s="180"/>
      <c r="D54" s="264"/>
      <c r="E54" s="255"/>
      <c r="F54" s="20"/>
    </row>
    <row r="55" spans="1:9" x14ac:dyDescent="0.3">
      <c r="A55" s="176" t="s">
        <v>59</v>
      </c>
      <c r="B55" s="182">
        <f>((0.00405-0.00468)+(0.00978-0.00405))/2</f>
        <v>2.5500000000000002E-3</v>
      </c>
      <c r="C55" s="182">
        <f>0.00978+B55</f>
        <v>1.2330000000000001E-2</v>
      </c>
      <c r="D55" s="266"/>
      <c r="E55" s="255"/>
      <c r="F55" s="259"/>
      <c r="G55" s="76"/>
    </row>
    <row r="56" spans="1:9" x14ac:dyDescent="0.3">
      <c r="A56" s="176" t="s">
        <v>72</v>
      </c>
      <c r="B56" s="178"/>
      <c r="C56" s="178"/>
      <c r="D56" s="266"/>
      <c r="E56" s="255"/>
      <c r="F56" s="20"/>
    </row>
    <row r="57" spans="1:9" x14ac:dyDescent="0.3">
      <c r="A57" s="108"/>
      <c r="B57" s="109"/>
      <c r="C57" s="109"/>
      <c r="D57" s="268"/>
      <c r="E57" s="257"/>
      <c r="F57" s="20"/>
    </row>
    <row r="58" spans="1:9" x14ac:dyDescent="0.3">
      <c r="B58" s="77"/>
      <c r="C58" s="77"/>
      <c r="D58" s="269"/>
      <c r="E58" s="269"/>
    </row>
    <row r="59" spans="1:9" x14ac:dyDescent="0.3">
      <c r="B59" s="77"/>
      <c r="C59" s="77"/>
      <c r="D59" s="77"/>
      <c r="E59" s="77"/>
    </row>
  </sheetData>
  <mergeCells count="2">
    <mergeCell ref="A1:D2"/>
    <mergeCell ref="F1:I2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6CE9-CFCC-4989-A705-68D9A1AAA047}">
  <dimension ref="A1:I29"/>
  <sheetViews>
    <sheetView showGridLines="0" zoomScale="80" zoomScaleNormal="80" workbookViewId="0">
      <selection sqref="A1:D2"/>
    </sheetView>
  </sheetViews>
  <sheetFormatPr defaultColWidth="8.88671875" defaultRowHeight="15.6" x14ac:dyDescent="0.3"/>
  <cols>
    <col min="1" max="1" width="33.33203125" style="8" customWidth="1"/>
    <col min="2" max="4" width="16.5546875" style="8" customWidth="1"/>
    <col min="5" max="5" width="8.88671875" style="8"/>
    <col min="6" max="6" width="33.33203125" style="8" customWidth="1"/>
    <col min="7" max="9" width="16.6640625" style="8" customWidth="1"/>
    <col min="10" max="16384" width="8.88671875" style="8"/>
  </cols>
  <sheetData>
    <row r="1" spans="1:9" ht="15.6" customHeight="1" x14ac:dyDescent="0.3">
      <c r="A1" s="310" t="s">
        <v>0</v>
      </c>
      <c r="B1" s="310"/>
      <c r="C1" s="310"/>
      <c r="D1" s="310"/>
      <c r="E1" s="87"/>
      <c r="F1" s="310" t="s">
        <v>1</v>
      </c>
      <c r="G1" s="310"/>
      <c r="H1" s="310"/>
      <c r="I1" s="310"/>
    </row>
    <row r="2" spans="1:9" ht="16.2" customHeight="1" thickBot="1" x14ac:dyDescent="0.35">
      <c r="A2" s="310"/>
      <c r="B2" s="310"/>
      <c r="C2" s="310"/>
      <c r="D2" s="310"/>
      <c r="E2" s="87"/>
      <c r="F2" s="310"/>
      <c r="G2" s="310"/>
      <c r="H2" s="310"/>
      <c r="I2" s="310"/>
    </row>
    <row r="3" spans="1:9" ht="16.2" thickBot="1" x14ac:dyDescent="0.35">
      <c r="A3" s="6"/>
      <c r="B3" s="55">
        <v>2019</v>
      </c>
      <c r="C3" s="59">
        <v>2020</v>
      </c>
      <c r="D3" s="7">
        <v>2021</v>
      </c>
      <c r="E3" s="9"/>
      <c r="F3" s="6"/>
      <c r="G3" s="55">
        <v>2019</v>
      </c>
      <c r="H3" s="59">
        <v>2020</v>
      </c>
      <c r="I3" s="7">
        <v>2021</v>
      </c>
    </row>
    <row r="4" spans="1:9" ht="16.2" thickBot="1" x14ac:dyDescent="0.35">
      <c r="A4" s="300" t="s">
        <v>2</v>
      </c>
      <c r="B4" s="301">
        <f>B5+B9+B14+B15</f>
        <v>600000</v>
      </c>
      <c r="C4" s="302">
        <f>C5+C9+C14+C15</f>
        <v>489617.97047639871</v>
      </c>
      <c r="D4" s="303">
        <f>D5+D9+D14+D15</f>
        <v>397271.65784390416</v>
      </c>
      <c r="E4" s="10"/>
      <c r="F4" s="15" t="s">
        <v>3</v>
      </c>
      <c r="G4" s="243">
        <v>0</v>
      </c>
      <c r="H4" s="253">
        <f>H5+H6</f>
        <v>5000000</v>
      </c>
      <c r="I4" s="191">
        <f>I5+I6</f>
        <v>5500000</v>
      </c>
    </row>
    <row r="5" spans="1:9" ht="16.2" thickBot="1" x14ac:dyDescent="0.35">
      <c r="A5" s="11" t="s">
        <v>4</v>
      </c>
      <c r="B5" s="245">
        <f>SUM(B6:B8)</f>
        <v>0</v>
      </c>
      <c r="C5" s="248">
        <f>SUM(C6:C8)</f>
        <v>400000</v>
      </c>
      <c r="D5" s="186">
        <f>SUM(D6:D8)</f>
        <v>300000</v>
      </c>
      <c r="E5" s="10"/>
      <c r="F5" s="17" t="s">
        <v>5</v>
      </c>
      <c r="G5" s="233">
        <v>0</v>
      </c>
      <c r="H5" s="249">
        <v>5000000</v>
      </c>
      <c r="I5" s="187">
        <f>H5*1.1</f>
        <v>5500000</v>
      </c>
    </row>
    <row r="6" spans="1:9" x14ac:dyDescent="0.3">
      <c r="A6" s="12" t="s">
        <v>6</v>
      </c>
      <c r="B6" s="246">
        <v>0</v>
      </c>
      <c r="C6" s="249">
        <v>0</v>
      </c>
      <c r="D6" s="187">
        <v>0</v>
      </c>
      <c r="E6" s="10"/>
      <c r="F6" s="17" t="s">
        <v>7</v>
      </c>
      <c r="G6" s="233">
        <v>0</v>
      </c>
      <c r="H6" s="249">
        <v>0</v>
      </c>
      <c r="I6" s="187">
        <v>0</v>
      </c>
    </row>
    <row r="7" spans="1:9" x14ac:dyDescent="0.3">
      <c r="A7" s="12" t="s">
        <v>8</v>
      </c>
      <c r="B7" s="246">
        <v>0</v>
      </c>
      <c r="C7" s="249">
        <f>500000-H10</f>
        <v>400000</v>
      </c>
      <c r="D7" s="187">
        <f>C7-I10</f>
        <v>300000</v>
      </c>
      <c r="E7" s="10"/>
      <c r="F7" s="15" t="s">
        <v>9</v>
      </c>
      <c r="G7" s="243">
        <v>0</v>
      </c>
      <c r="H7" s="253">
        <f>SUM(H8:H11)</f>
        <v>4870540</v>
      </c>
      <c r="I7" s="191">
        <f>SUM(I8:I11)</f>
        <v>5245540</v>
      </c>
    </row>
    <row r="8" spans="1:9" ht="16.2" customHeight="1" thickBot="1" x14ac:dyDescent="0.35">
      <c r="A8" s="13" t="s">
        <v>10</v>
      </c>
      <c r="B8" s="247">
        <v>0</v>
      </c>
      <c r="C8" s="250">
        <v>0</v>
      </c>
      <c r="D8" s="188">
        <v>0</v>
      </c>
      <c r="E8" s="10"/>
      <c r="F8" s="17" t="s">
        <v>11</v>
      </c>
      <c r="G8" s="233">
        <v>0</v>
      </c>
      <c r="H8" s="249">
        <f>94080+74460+3750000</f>
        <v>3918540</v>
      </c>
      <c r="I8" s="187">
        <f>94080+74460+3750000*1.1</f>
        <v>4293540</v>
      </c>
    </row>
    <row r="9" spans="1:9" ht="16.2" thickBot="1" x14ac:dyDescent="0.35">
      <c r="A9" s="11" t="s">
        <v>12</v>
      </c>
      <c r="B9" s="245">
        <f>SUM(B10:B13)</f>
        <v>600000</v>
      </c>
      <c r="C9" s="248">
        <f>SUM(C10:C13)</f>
        <v>89617.97047639871</v>
      </c>
      <c r="D9" s="186">
        <f>SUM(D10:D13)</f>
        <v>97271.657843904162</v>
      </c>
      <c r="E9" s="10"/>
      <c r="F9" s="17" t="s">
        <v>126</v>
      </c>
      <c r="G9" s="233">
        <v>0</v>
      </c>
      <c r="H9" s="249">
        <f>420000+432000</f>
        <v>852000</v>
      </c>
      <c r="I9" s="187">
        <f>H9</f>
        <v>852000</v>
      </c>
    </row>
    <row r="10" spans="1:9" ht="15.6" customHeight="1" x14ac:dyDescent="0.3">
      <c r="A10" s="12" t="s">
        <v>13</v>
      </c>
      <c r="B10" s="246">
        <v>0</v>
      </c>
      <c r="C10" s="249">
        <v>0</v>
      </c>
      <c r="D10" s="187">
        <v>0</v>
      </c>
      <c r="E10" s="10"/>
      <c r="F10" s="17" t="s">
        <v>14</v>
      </c>
      <c r="G10" s="233">
        <v>0</v>
      </c>
      <c r="H10" s="249">
        <f>500000*0.2</f>
        <v>100000</v>
      </c>
      <c r="I10" s="187">
        <f>500000*0.2</f>
        <v>100000</v>
      </c>
    </row>
    <row r="11" spans="1:9" ht="16.2" customHeight="1" thickBot="1" x14ac:dyDescent="0.35">
      <c r="A11" s="12" t="s">
        <v>15</v>
      </c>
      <c r="B11" s="246">
        <v>0</v>
      </c>
      <c r="C11" s="249">
        <v>0</v>
      </c>
      <c r="D11" s="187">
        <v>0</v>
      </c>
      <c r="E11" s="10"/>
      <c r="F11" s="18" t="s">
        <v>16</v>
      </c>
      <c r="G11" s="234">
        <v>0</v>
      </c>
      <c r="H11" s="250">
        <v>0</v>
      </c>
      <c r="I11" s="188">
        <v>0</v>
      </c>
    </row>
    <row r="12" spans="1:9" ht="16.2" customHeight="1" thickBot="1" x14ac:dyDescent="0.35">
      <c r="A12" s="12" t="s">
        <v>17</v>
      </c>
      <c r="B12" s="246">
        <v>0</v>
      </c>
      <c r="C12" s="249">
        <v>0</v>
      </c>
      <c r="D12" s="187">
        <v>0</v>
      </c>
      <c r="E12" s="10"/>
      <c r="F12" s="14" t="s">
        <v>18</v>
      </c>
      <c r="G12" s="232">
        <v>0</v>
      </c>
      <c r="H12" s="248">
        <f>H4-H7</f>
        <v>129460</v>
      </c>
      <c r="I12" s="186">
        <f>I4-I7</f>
        <v>254460</v>
      </c>
    </row>
    <row r="13" spans="1:9" ht="16.2" thickBot="1" x14ac:dyDescent="0.35">
      <c r="A13" s="13" t="s">
        <v>19</v>
      </c>
      <c r="B13" s="247">
        <v>600000</v>
      </c>
      <c r="C13" s="250">
        <f>C16-C5</f>
        <v>89617.97047639871</v>
      </c>
      <c r="D13" s="188">
        <f>D16-D5</f>
        <v>97271.657843904162</v>
      </c>
      <c r="E13" s="10"/>
      <c r="F13" s="14" t="s">
        <v>20</v>
      </c>
      <c r="G13" s="232">
        <v>0</v>
      </c>
      <c r="H13" s="248">
        <f>H5-H8</f>
        <v>1081460</v>
      </c>
      <c r="I13" s="186">
        <f>I5-I8</f>
        <v>1206460</v>
      </c>
    </row>
    <row r="14" spans="1:9" ht="16.2" thickBot="1" x14ac:dyDescent="0.35">
      <c r="A14" s="11" t="s">
        <v>21</v>
      </c>
      <c r="B14" s="245">
        <v>0</v>
      </c>
      <c r="C14" s="248">
        <v>0</v>
      </c>
      <c r="D14" s="186">
        <v>0</v>
      </c>
      <c r="E14" s="10"/>
      <c r="F14" s="15" t="s">
        <v>22</v>
      </c>
      <c r="G14" s="243">
        <v>0</v>
      </c>
      <c r="H14" s="244">
        <v>0</v>
      </c>
      <c r="I14" s="189">
        <v>0</v>
      </c>
    </row>
    <row r="15" spans="1:9" ht="16.2" thickBot="1" x14ac:dyDescent="0.35">
      <c r="A15" s="11" t="s">
        <v>23</v>
      </c>
      <c r="B15" s="245">
        <v>0</v>
      </c>
      <c r="C15" s="248">
        <v>0</v>
      </c>
      <c r="D15" s="186">
        <v>0</v>
      </c>
      <c r="E15" s="10"/>
      <c r="F15" s="15" t="s">
        <v>24</v>
      </c>
      <c r="G15" s="243">
        <v>0</v>
      </c>
      <c r="H15" s="244">
        <f>H16</f>
        <v>30212.240363803128</v>
      </c>
      <c r="I15" s="189">
        <f>I16</f>
        <v>19219.130857623997</v>
      </c>
    </row>
    <row r="16" spans="1:9" ht="16.2" thickBot="1" x14ac:dyDescent="0.35">
      <c r="A16" s="300" t="s">
        <v>25</v>
      </c>
      <c r="B16" s="301">
        <f>B17+B23+B286+B29</f>
        <v>600000</v>
      </c>
      <c r="C16" s="302">
        <f>C17+C23+C28+C29</f>
        <v>489617.97047639871</v>
      </c>
      <c r="D16" s="303">
        <f>SUM(D17,D23,D28,D29)</f>
        <v>397271.65784390416</v>
      </c>
      <c r="E16" s="10"/>
      <c r="F16" s="18" t="s">
        <v>26</v>
      </c>
      <c r="G16" s="234">
        <v>0</v>
      </c>
      <c r="H16" s="236">
        <f>'Loan repayment'!D5+'Loan repayment'!D6+'Loan repayment'!D7+'Loan repayment'!D8</f>
        <v>30212.240363803128</v>
      </c>
      <c r="I16" s="185">
        <f>'Loan repayment'!D9+'Loan repayment'!D10+'Loan repayment'!D11+'Loan repayment'!D12</f>
        <v>19219.130857623997</v>
      </c>
    </row>
    <row r="17" spans="1:9" ht="16.2" thickBot="1" x14ac:dyDescent="0.35">
      <c r="A17" s="11" t="s">
        <v>27</v>
      </c>
      <c r="B17" s="245">
        <f>SUM(B18:B22)</f>
        <v>0</v>
      </c>
      <c r="C17" s="248">
        <f>SUM(C18:C22)</f>
        <v>78405.730112595527</v>
      </c>
      <c r="D17" s="186">
        <f>SUM(D18:D22)</f>
        <v>185840.28662247706</v>
      </c>
      <c r="E17" s="10"/>
      <c r="F17" s="14" t="s">
        <v>28</v>
      </c>
      <c r="G17" s="232">
        <v>0</v>
      </c>
      <c r="H17" s="235">
        <f>H14-H15</f>
        <v>-30212.240363803128</v>
      </c>
      <c r="I17" s="184">
        <f>I14-I15</f>
        <v>-19219.130857623997</v>
      </c>
    </row>
    <row r="18" spans="1:9" ht="15.75" customHeight="1" thickBot="1" x14ac:dyDescent="0.35">
      <c r="A18" s="12" t="s">
        <v>29</v>
      </c>
      <c r="B18" s="246">
        <v>0</v>
      </c>
      <c r="C18" s="249">
        <v>0</v>
      </c>
      <c r="D18" s="187">
        <v>0</v>
      </c>
      <c r="E18" s="5"/>
      <c r="F18" s="14" t="s">
        <v>30</v>
      </c>
      <c r="G18" s="232">
        <v>0</v>
      </c>
      <c r="H18" s="235">
        <f>H12+H17</f>
        <v>99247.759636196875</v>
      </c>
      <c r="I18" s="190">
        <f>I12+I17</f>
        <v>235240.869142376</v>
      </c>
    </row>
    <row r="19" spans="1:9" ht="15.6" customHeight="1" thickBot="1" x14ac:dyDescent="0.35">
      <c r="A19" s="12" t="s">
        <v>31</v>
      </c>
      <c r="B19" s="246">
        <v>0</v>
      </c>
      <c r="C19" s="249">
        <v>0</v>
      </c>
      <c r="D19" s="187">
        <v>0</v>
      </c>
      <c r="E19" s="5"/>
      <c r="F19" s="16" t="s">
        <v>32</v>
      </c>
      <c r="G19" s="234">
        <v>0</v>
      </c>
      <c r="H19" s="236">
        <f>H18*0.21</f>
        <v>20842.029523601344</v>
      </c>
      <c r="I19" s="185">
        <f>I18*0.21</f>
        <v>49400.582519898962</v>
      </c>
    </row>
    <row r="20" spans="1:9" ht="15.6" customHeight="1" thickBot="1" x14ac:dyDescent="0.35">
      <c r="A20" s="12" t="s">
        <v>33</v>
      </c>
      <c r="B20" s="246">
        <v>0</v>
      </c>
      <c r="C20" s="249">
        <v>0</v>
      </c>
      <c r="D20" s="187">
        <v>0</v>
      </c>
      <c r="E20" s="5"/>
      <c r="F20" s="14" t="s">
        <v>34</v>
      </c>
      <c r="G20" s="252">
        <v>0</v>
      </c>
      <c r="H20" s="254">
        <f>H18-H19</f>
        <v>78405.730112595527</v>
      </c>
      <c r="I20" s="190">
        <f>I18-I19</f>
        <v>185840.28662247706</v>
      </c>
    </row>
    <row r="21" spans="1:9" ht="16.2" thickBot="1" x14ac:dyDescent="0.35">
      <c r="A21" s="12" t="s">
        <v>35</v>
      </c>
      <c r="B21" s="246">
        <v>0</v>
      </c>
      <c r="C21" s="249">
        <v>0</v>
      </c>
      <c r="D21" s="187">
        <v>0</v>
      </c>
      <c r="E21" s="10"/>
      <c r="F21" s="14" t="s">
        <v>36</v>
      </c>
      <c r="G21" s="232">
        <v>0</v>
      </c>
      <c r="H21" s="235">
        <v>0</v>
      </c>
      <c r="I21" s="184">
        <v>0</v>
      </c>
    </row>
    <row r="22" spans="1:9" ht="16.2" thickBot="1" x14ac:dyDescent="0.35">
      <c r="A22" s="13" t="s">
        <v>37</v>
      </c>
      <c r="B22" s="247">
        <v>0</v>
      </c>
      <c r="C22" s="250">
        <f>H22</f>
        <v>78405.730112595527</v>
      </c>
      <c r="D22" s="188">
        <f>I20</f>
        <v>185840.28662247706</v>
      </c>
      <c r="E22" s="10"/>
      <c r="F22" s="21" t="s">
        <v>38</v>
      </c>
      <c r="G22" s="252">
        <v>0</v>
      </c>
      <c r="H22" s="254">
        <f>H20+H21</f>
        <v>78405.730112595527</v>
      </c>
      <c r="I22" s="190">
        <f>I20+I21</f>
        <v>185840.28662247706</v>
      </c>
    </row>
    <row r="23" spans="1:9" ht="16.2" thickBot="1" x14ac:dyDescent="0.35">
      <c r="A23" s="11" t="s">
        <v>39</v>
      </c>
      <c r="B23" s="245">
        <f>SUM(B24:B27)</f>
        <v>600000</v>
      </c>
      <c r="C23" s="248">
        <f>SUM(C24:C27)</f>
        <v>411212.24036380317</v>
      </c>
      <c r="D23" s="186">
        <f>SUM(D24:D27)</f>
        <v>211431.37122142711</v>
      </c>
      <c r="E23" s="19"/>
      <c r="F23" s="20"/>
    </row>
    <row r="24" spans="1:9" x14ac:dyDescent="0.3">
      <c r="A24" s="12" t="s">
        <v>40</v>
      </c>
      <c r="B24" s="246">
        <v>0</v>
      </c>
      <c r="C24" s="249">
        <v>0</v>
      </c>
      <c r="D24" s="187">
        <v>0</v>
      </c>
      <c r="E24" s="9"/>
      <c r="F24" s="9"/>
      <c r="G24" s="9"/>
      <c r="H24" s="9"/>
      <c r="I24" s="9"/>
    </row>
    <row r="25" spans="1:9" x14ac:dyDescent="0.3">
      <c r="A25" s="12" t="s">
        <v>41</v>
      </c>
      <c r="B25" s="246">
        <v>0</v>
      </c>
      <c r="C25" s="249">
        <v>0</v>
      </c>
      <c r="D25" s="187">
        <v>0</v>
      </c>
      <c r="E25" s="9"/>
      <c r="F25" s="9"/>
      <c r="G25" s="9"/>
      <c r="H25" s="9"/>
      <c r="I25" s="9"/>
    </row>
    <row r="26" spans="1:9" x14ac:dyDescent="0.3">
      <c r="A26" s="12" t="s">
        <v>42</v>
      </c>
      <c r="B26" s="246">
        <v>0</v>
      </c>
      <c r="C26" s="249">
        <v>0</v>
      </c>
      <c r="D26" s="187">
        <v>0</v>
      </c>
      <c r="E26" s="9"/>
      <c r="F26" s="9"/>
      <c r="G26" s="9"/>
      <c r="H26" s="9"/>
      <c r="I26" s="9"/>
    </row>
    <row r="27" spans="1:9" ht="16.2" thickBot="1" x14ac:dyDescent="0.35">
      <c r="A27" s="13" t="s">
        <v>43</v>
      </c>
      <c r="B27" s="247">
        <v>600000</v>
      </c>
      <c r="C27" s="251">
        <f>'Loan repayment'!F8</f>
        <v>411212.24036380317</v>
      </c>
      <c r="D27" s="188">
        <f>'Loan repayment'!F12</f>
        <v>211431.37122142711</v>
      </c>
      <c r="E27" s="9"/>
      <c r="F27" s="9"/>
      <c r="G27" s="9"/>
      <c r="H27" s="9"/>
      <c r="I27" s="9"/>
    </row>
    <row r="28" spans="1:9" ht="16.2" thickBot="1" x14ac:dyDescent="0.35">
      <c r="A28" s="11" t="s">
        <v>21</v>
      </c>
      <c r="B28" s="245">
        <v>0</v>
      </c>
      <c r="C28" s="248">
        <v>0</v>
      </c>
      <c r="D28" s="186">
        <v>0</v>
      </c>
      <c r="E28" s="9"/>
      <c r="F28" s="9"/>
      <c r="G28" s="9"/>
      <c r="H28" s="9"/>
      <c r="I28" s="9"/>
    </row>
    <row r="29" spans="1:9" ht="16.2" thickBot="1" x14ac:dyDescent="0.35">
      <c r="A29" s="11" t="s">
        <v>44</v>
      </c>
      <c r="B29" s="245">
        <v>0</v>
      </c>
      <c r="C29" s="248">
        <v>0</v>
      </c>
      <c r="D29" s="186">
        <v>0</v>
      </c>
      <c r="E29" s="9"/>
      <c r="F29" s="9"/>
      <c r="G29" s="9"/>
      <c r="H29" s="9"/>
      <c r="I29" s="9"/>
    </row>
  </sheetData>
  <mergeCells count="2">
    <mergeCell ref="A1:D2"/>
    <mergeCell ref="F1:I2"/>
  </mergeCells>
  <pageMargins left="0.7" right="0.7" top="0.78740157499999996" bottom="0.78740157499999996" header="0.3" footer="0.3"/>
  <ignoredErrors>
    <ignoredError sqref="B9 B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0358-7E32-479E-8505-B552726EDF84}">
  <dimension ref="A1:I29"/>
  <sheetViews>
    <sheetView showGridLines="0" zoomScale="80" zoomScaleNormal="80" workbookViewId="0">
      <selection sqref="A1:D2"/>
    </sheetView>
  </sheetViews>
  <sheetFormatPr defaultColWidth="8.88671875" defaultRowHeight="15.6" x14ac:dyDescent="0.3"/>
  <cols>
    <col min="1" max="1" width="33.33203125" style="8" customWidth="1"/>
    <col min="2" max="4" width="16.5546875" style="8" customWidth="1"/>
    <col min="5" max="5" width="8.88671875" style="8"/>
    <col min="6" max="6" width="33.33203125" style="8" customWidth="1"/>
    <col min="7" max="9" width="16.6640625" style="8" customWidth="1"/>
    <col min="10" max="16384" width="8.88671875" style="8"/>
  </cols>
  <sheetData>
    <row r="1" spans="1:9" ht="15.6" customHeight="1" x14ac:dyDescent="0.3">
      <c r="A1" s="310" t="s">
        <v>0</v>
      </c>
      <c r="B1" s="310"/>
      <c r="C1" s="310"/>
      <c r="D1" s="310"/>
      <c r="E1" s="87"/>
      <c r="F1" s="310" t="s">
        <v>1</v>
      </c>
      <c r="G1" s="310"/>
      <c r="H1" s="310"/>
      <c r="I1" s="310"/>
    </row>
    <row r="2" spans="1:9" ht="16.2" customHeight="1" x14ac:dyDescent="0.3">
      <c r="A2" s="310"/>
      <c r="B2" s="310"/>
      <c r="C2" s="310"/>
      <c r="D2" s="310"/>
      <c r="E2" s="87"/>
      <c r="F2" s="310"/>
      <c r="G2" s="310"/>
      <c r="H2" s="310"/>
      <c r="I2" s="310"/>
    </row>
    <row r="3" spans="1:9" x14ac:dyDescent="0.3">
      <c r="A3" s="6"/>
      <c r="B3" s="128">
        <v>2019</v>
      </c>
      <c r="C3" s="129">
        <v>2020</v>
      </c>
      <c r="D3" s="115">
        <v>2021</v>
      </c>
      <c r="E3" s="9"/>
      <c r="F3" s="6"/>
      <c r="G3" s="128">
        <v>2019</v>
      </c>
      <c r="H3" s="129">
        <v>2020</v>
      </c>
      <c r="I3" s="115">
        <v>2021</v>
      </c>
    </row>
    <row r="4" spans="1:9" x14ac:dyDescent="0.3">
      <c r="A4" s="295" t="s">
        <v>2</v>
      </c>
      <c r="B4" s="307">
        <f>'Future without the project'!B4+'Future - the project'!B4</f>
        <v>16414715.015276643</v>
      </c>
      <c r="C4" s="308">
        <f>'Future without the project'!C4+'Future - the project'!C4</f>
        <v>17621432.202673551</v>
      </c>
      <c r="D4" s="309">
        <f>'Future without the project'!D4+'Future - the project'!D4</f>
        <v>19015496.5783334</v>
      </c>
      <c r="E4" s="10"/>
      <c r="F4" s="60" t="s">
        <v>3</v>
      </c>
      <c r="G4" s="212">
        <f>'Future without the project'!G4+'Future - the project'!G4</f>
        <v>44466658.110000007</v>
      </c>
      <c r="H4" s="213">
        <f>'Future without the project'!H4+'Future - the project'!H4</f>
        <v>54180123.869660012</v>
      </c>
      <c r="I4" s="214">
        <f>'Future without the project'!I4+'Future - the project'!I4</f>
        <v>59893216.999843977</v>
      </c>
    </row>
    <row r="5" spans="1:9" x14ac:dyDescent="0.3">
      <c r="A5" s="56" t="s">
        <v>4</v>
      </c>
      <c r="B5" s="192">
        <f>'Future without the project'!B5+'Future - the project'!B5</f>
        <v>4334356</v>
      </c>
      <c r="C5" s="193">
        <f>'Future without the project'!C5+'Future - the project'!C5</f>
        <v>4700354</v>
      </c>
      <c r="D5" s="194">
        <f>'Future without the project'!D5+'Future - the project'!D5</f>
        <v>4566352</v>
      </c>
      <c r="E5" s="10"/>
      <c r="F5" s="61" t="s">
        <v>5</v>
      </c>
      <c r="G5" s="215">
        <f>'Future without the project'!G5+'Future - the project'!G5</f>
        <v>41798658.623400003</v>
      </c>
      <c r="H5" s="216">
        <f>'Future without the project'!H5+'Future - the project'!H5</f>
        <v>51229316.437480412</v>
      </c>
      <c r="I5" s="217">
        <f>'Future without the project'!I5+'Future - the project'!I5</f>
        <v>56635063.301553324</v>
      </c>
    </row>
    <row r="6" spans="1:9" x14ac:dyDescent="0.3">
      <c r="A6" s="57" t="s">
        <v>6</v>
      </c>
      <c r="B6" s="195">
        <f>'Future without the project'!B6+'Future - the project'!B6</f>
        <v>873.94183915201575</v>
      </c>
      <c r="C6" s="196">
        <f>'Future without the project'!C6+'Future - the project'!C6</f>
        <v>867.08597165625542</v>
      </c>
      <c r="D6" s="197">
        <f>'Future without the project'!D6+'Future - the project'!D6</f>
        <v>860.2301041604951</v>
      </c>
      <c r="E6" s="10"/>
      <c r="F6" s="61" t="s">
        <v>7</v>
      </c>
      <c r="G6" s="215">
        <f>'Future without the project'!G6+'Future - the project'!G6</f>
        <v>2667999.4866000041</v>
      </c>
      <c r="H6" s="216">
        <f>'Future without the project'!H6+'Future - the project'!H6</f>
        <v>2950807.4321796</v>
      </c>
      <c r="I6" s="217">
        <f>'Future without the project'!I6+'Future - the project'!I6</f>
        <v>3258153.6982906535</v>
      </c>
    </row>
    <row r="7" spans="1:9" x14ac:dyDescent="0.3">
      <c r="A7" s="57" t="s">
        <v>8</v>
      </c>
      <c r="B7" s="198">
        <f>'Future without the project'!B7+'Future - the project'!B7</f>
        <v>4333482.058160848</v>
      </c>
      <c r="C7" s="199">
        <f>'Future without the project'!C7+'Future - the project'!C7</f>
        <v>4699486.9140283437</v>
      </c>
      <c r="D7" s="200">
        <f>'Future without the project'!D7+'Future - the project'!D7</f>
        <v>4565491.7698958395</v>
      </c>
      <c r="E7" s="10"/>
      <c r="F7" s="60" t="s">
        <v>9</v>
      </c>
      <c r="G7" s="218">
        <f>'Future without the project'!G7+'Future - the project'!G7</f>
        <v>41287736.721716106</v>
      </c>
      <c r="H7" s="219">
        <f>'Future without the project'!H7+'Future - the project'!H7</f>
        <v>49957893.961226903</v>
      </c>
      <c r="I7" s="220">
        <f>'Future without the project'!I7+'Future - the project'!I7</f>
        <v>54474121.04570879</v>
      </c>
    </row>
    <row r="8" spans="1:9" ht="16.2" customHeight="1" x14ac:dyDescent="0.3">
      <c r="A8" s="58" t="s">
        <v>10</v>
      </c>
      <c r="B8" s="201">
        <f>'Future without the project'!B8+'Future - the project'!B8</f>
        <v>0</v>
      </c>
      <c r="C8" s="202">
        <f>'Future without the project'!C8+'Future - the project'!C8</f>
        <v>0</v>
      </c>
      <c r="D8" s="203">
        <f>'Future without the project'!D8+'Future - the project'!D8</f>
        <v>0</v>
      </c>
      <c r="E8" s="10"/>
      <c r="F8" s="61" t="s">
        <v>11</v>
      </c>
      <c r="G8" s="215">
        <f>'Future without the project'!G8+'Future - the project'!G8</f>
        <v>33127660.291950006</v>
      </c>
      <c r="H8" s="216">
        <f>'Future without the project'!H8+'Future - the project'!H8</f>
        <v>38836427.94745861</v>
      </c>
      <c r="I8" s="217">
        <f>'Future without the project'!I8+'Future - the project'!I8</f>
        <v>41014400.796594672</v>
      </c>
    </row>
    <row r="9" spans="1:9" x14ac:dyDescent="0.3">
      <c r="A9" s="56" t="s">
        <v>12</v>
      </c>
      <c r="B9" s="192">
        <f>'Future without the project'!B9+'Future - the project'!B9</f>
        <v>11802968.91390869</v>
      </c>
      <c r="C9" s="193">
        <f>'Future without the project'!C9+'Future - the project'!C9</f>
        <v>12764236.443377784</v>
      </c>
      <c r="D9" s="204">
        <f>'Future without the project'!D9+'Future - the project'!D9</f>
        <v>14278694.729186321</v>
      </c>
      <c r="E9" s="10"/>
      <c r="F9" s="61" t="s">
        <v>126</v>
      </c>
      <c r="G9" s="215">
        <f>'Future without the project'!G9+'Future - the project'!G9</f>
        <v>5546326.2660603002</v>
      </c>
      <c r="H9" s="216">
        <f>'Future without the project'!H9+'Future - the project'!H9</f>
        <v>7584758.9577564541</v>
      </c>
      <c r="I9" s="217">
        <f>'Future without the project'!I9+'Future - the project'!I9</f>
        <v>8960396.8581667393</v>
      </c>
    </row>
    <row r="10" spans="1:9" ht="15.6" customHeight="1" x14ac:dyDescent="0.3">
      <c r="A10" s="57" t="s">
        <v>13</v>
      </c>
      <c r="B10" s="195">
        <f>'Future without the project'!B10+'Future - the project'!B10</f>
        <v>1807068.4112205857</v>
      </c>
      <c r="C10" s="196">
        <f>'Future without the project'!C10+'Future - the project'!C10</f>
        <v>1957566.7532420075</v>
      </c>
      <c r="D10" s="197">
        <f>'Future without the project'!D10+'Future - the project'!D10</f>
        <v>2127411.4705397324</v>
      </c>
      <c r="E10" s="10"/>
      <c r="F10" s="61" t="s">
        <v>14</v>
      </c>
      <c r="G10" s="215">
        <f>'Future without the project'!G10+'Future - the project'!G10</f>
        <v>592592.33041260007</v>
      </c>
      <c r="H10" s="216">
        <f>'Future without the project'!H10+'Future - the project'!H10</f>
        <v>755407.11743633577</v>
      </c>
      <c r="I10" s="217">
        <f>'Future without the project'!I10+'Future - the project'!I10</f>
        <v>824880.27188458748</v>
      </c>
    </row>
    <row r="11" spans="1:9" ht="16.2" customHeight="1" x14ac:dyDescent="0.3">
      <c r="A11" s="57" t="s">
        <v>15</v>
      </c>
      <c r="B11" s="198">
        <f>'Future without the project'!B11+'Future - the project'!B11</f>
        <v>127877</v>
      </c>
      <c r="C11" s="199">
        <f>'Future without the project'!C11+'Future - the project'!C11</f>
        <v>127877</v>
      </c>
      <c r="D11" s="205">
        <f>'Future without the project'!D11+'Future - the project'!D11</f>
        <v>127877</v>
      </c>
      <c r="E11" s="10"/>
      <c r="F11" s="62" t="s">
        <v>16</v>
      </c>
      <c r="G11" s="215">
        <f>'Future without the project'!G11+'Future - the project'!G11</f>
        <v>2021157.8332931995</v>
      </c>
      <c r="H11" s="216">
        <f>'Future without the project'!H11+'Future - the project'!H11</f>
        <v>2781299.938575503</v>
      </c>
      <c r="I11" s="217">
        <f>'Future without the project'!I11+'Future - the project'!I11</f>
        <v>3674443.1190627906</v>
      </c>
    </row>
    <row r="12" spans="1:9" ht="16.2" customHeight="1" x14ac:dyDescent="0.3">
      <c r="A12" s="57" t="s">
        <v>17</v>
      </c>
      <c r="B12" s="198">
        <f>'Future without the project'!B12+'Future - the project'!B12</f>
        <v>4420370.9939199742</v>
      </c>
      <c r="C12" s="199">
        <f>'Future without the project'!C12+'Future - the project'!C12</f>
        <v>5426073.862692642</v>
      </c>
      <c r="D12" s="205">
        <f>'Future without the project'!D12+'Future - the project'!D12</f>
        <v>6589734.5283580525</v>
      </c>
      <c r="E12" s="10"/>
      <c r="F12" s="63" t="s">
        <v>18</v>
      </c>
      <c r="G12" s="212">
        <f>'Future without the project'!G12+'Future - the project'!G12</f>
        <v>3178921.3882839005</v>
      </c>
      <c r="H12" s="213">
        <f>'Future without the project'!H12+'Future - the project'!H12</f>
        <v>4222229.9084331058</v>
      </c>
      <c r="I12" s="214">
        <f>'Future without the project'!I12+'Future - the project'!I12</f>
        <v>5419095.954135186</v>
      </c>
    </row>
    <row r="13" spans="1:9" x14ac:dyDescent="0.3">
      <c r="A13" s="58" t="s">
        <v>19</v>
      </c>
      <c r="B13" s="201">
        <f>'Future without the project'!B13+'Future - the project'!B13</f>
        <v>5447652.5087681301</v>
      </c>
      <c r="C13" s="202">
        <f>'Future without the project'!C13+'Future - the project'!C13</f>
        <v>5252718.827443134</v>
      </c>
      <c r="D13" s="203">
        <f>'Future without the project'!D13+'Future - the project'!D13</f>
        <v>5433671.7302885363</v>
      </c>
      <c r="E13" s="10"/>
      <c r="F13" s="63" t="s">
        <v>20</v>
      </c>
      <c r="G13" s="221">
        <f>'Future without the project'!G13+'Future - the project'!G13</f>
        <v>8670998.3314500023</v>
      </c>
      <c r="H13" s="222">
        <f>'Future without the project'!H13+'Future - the project'!H13</f>
        <v>12392888.490021802</v>
      </c>
      <c r="I13" s="223">
        <f>'Future without the project'!I13+'Future - the project'!I13</f>
        <v>15620662.504958654</v>
      </c>
    </row>
    <row r="14" spans="1:9" x14ac:dyDescent="0.3">
      <c r="A14" s="56" t="s">
        <v>21</v>
      </c>
      <c r="B14" s="192">
        <f>'Future without the project'!B14+'Future - the project'!B14</f>
        <v>277390.1013679523</v>
      </c>
      <c r="C14" s="193">
        <f>'Future without the project'!C14+'Future - the project'!C14</f>
        <v>156841.7592957649</v>
      </c>
      <c r="D14" s="204">
        <f>'Future without the project'!D14+'Future - the project'!D14</f>
        <v>170449.84914708135</v>
      </c>
      <c r="E14" s="10"/>
      <c r="F14" s="60" t="s">
        <v>22</v>
      </c>
      <c r="G14" s="218">
        <f>'Future without the project'!G14+'Future - the project'!G14</f>
        <v>3112.6660677000009</v>
      </c>
      <c r="H14" s="219">
        <f>'Future without the project'!H14+'Future - the project'!H14</f>
        <v>3442.6086708762014</v>
      </c>
      <c r="I14" s="220">
        <f>'Future without the project'!I14+'Future - the project'!I14</f>
        <v>3807.5251899890786</v>
      </c>
    </row>
    <row r="15" spans="1:9" x14ac:dyDescent="0.3">
      <c r="A15" s="56" t="s">
        <v>23</v>
      </c>
      <c r="B15" s="206">
        <f>'Future without the project'!B15+'Future - the project'!B15</f>
        <v>0</v>
      </c>
      <c r="C15" s="207">
        <f>'Future without the project'!C15+'Future - the project'!C15</f>
        <v>0</v>
      </c>
      <c r="D15" s="208">
        <f>'Future without the project'!D15+'Future - the project'!D15</f>
        <v>0</v>
      </c>
      <c r="E15" s="10"/>
      <c r="F15" s="60" t="s">
        <v>24</v>
      </c>
      <c r="G15" s="218">
        <f>'Future without the project'!G15+'Future - the project'!G15</f>
        <v>531376.56441450014</v>
      </c>
      <c r="H15" s="219">
        <f>'Future without the project'!H15+'Future - the project'!H15</f>
        <v>617914.72060624033</v>
      </c>
      <c r="I15" s="220">
        <f>'Future without the project'!I15+'Future - the project'!I15</f>
        <v>669218.07400575955</v>
      </c>
    </row>
    <row r="16" spans="1:9" x14ac:dyDescent="0.3">
      <c r="A16" s="295" t="s">
        <v>25</v>
      </c>
      <c r="B16" s="304">
        <f>'Future without the project'!B16+'Future - the project'!B16</f>
        <v>16414715.015276643</v>
      </c>
      <c r="C16" s="305">
        <f>'Future without the project'!C16+'Future - the project'!C16</f>
        <v>17621432.202673551</v>
      </c>
      <c r="D16" s="306">
        <f>'Future without the project'!D16+'Future - the project'!D16</f>
        <v>19015496.5783334</v>
      </c>
      <c r="E16" s="10"/>
      <c r="F16" s="62" t="s">
        <v>26</v>
      </c>
      <c r="G16" s="215">
        <f>'Future without the project'!G16+'Future - the project'!G16</f>
        <v>0</v>
      </c>
      <c r="H16" s="216">
        <f>'Future without the project'!H16+'Future - the project'!H16</f>
        <v>30212.240363803128</v>
      </c>
      <c r="I16" s="217">
        <f>'Future without the project'!I16+'Future - the project'!I16</f>
        <v>19219.130857623997</v>
      </c>
    </row>
    <row r="17" spans="1:9" x14ac:dyDescent="0.3">
      <c r="A17" s="56" t="s">
        <v>27</v>
      </c>
      <c r="B17" s="206">
        <f>'Future without the project'!B17+'Future - the project'!B17</f>
        <v>2122079.2738301009</v>
      </c>
      <c r="C17" s="207">
        <f>'Future without the project'!C17+'Future - the project'!C17</f>
        <v>2880648.7850595806</v>
      </c>
      <c r="D17" s="208">
        <f>'Future without the project'!D17+'Future - the project'!D17</f>
        <v>3778626.3961667432</v>
      </c>
      <c r="E17" s="10"/>
      <c r="F17" s="63" t="s">
        <v>28</v>
      </c>
      <c r="G17" s="221">
        <f>'Future without the project'!G17+'Future - the project'!G17</f>
        <v>-528263.89834680012</v>
      </c>
      <c r="H17" s="222">
        <f>'Future without the project'!H17+'Future - the project'!H17</f>
        <v>-614472.11193536408</v>
      </c>
      <c r="I17" s="223">
        <f>'Future without the project'!I17+'Future - the project'!I17</f>
        <v>-665410.54881577042</v>
      </c>
    </row>
    <row r="18" spans="1:9" ht="15.6" customHeight="1" x14ac:dyDescent="0.3">
      <c r="A18" s="57" t="s">
        <v>29</v>
      </c>
      <c r="B18" s="198">
        <f>'Future without the project'!B18+'Future - the project'!B18</f>
        <v>6639</v>
      </c>
      <c r="C18" s="199">
        <f>'Future without the project'!C18+'Future - the project'!C18</f>
        <v>6639</v>
      </c>
      <c r="D18" s="205">
        <f>'Future without the project'!D18+'Future - the project'!D18</f>
        <v>6639</v>
      </c>
      <c r="E18" s="5"/>
      <c r="F18" s="63" t="s">
        <v>30</v>
      </c>
      <c r="G18" s="218">
        <f>'Future without the project'!G18+'Future - the project'!G18</f>
        <v>2650657.4899371006</v>
      </c>
      <c r="H18" s="219">
        <f>'Future without the project'!H18+'Future - the project'!H18</f>
        <v>3607757.7964977422</v>
      </c>
      <c r="I18" s="220">
        <f>'Future without the project'!I18+'Future - the project'!I18</f>
        <v>4753685.9492515847</v>
      </c>
    </row>
    <row r="19" spans="1:9" ht="15.6" customHeight="1" x14ac:dyDescent="0.3">
      <c r="A19" s="57" t="s">
        <v>31</v>
      </c>
      <c r="B19" s="198">
        <f>'Future without the project'!B19+'Future - the project'!B19</f>
        <v>664</v>
      </c>
      <c r="C19" s="199">
        <f>'Future without the project'!C19+'Future - the project'!C19</f>
        <v>664</v>
      </c>
      <c r="D19" s="205">
        <f>'Future without the project'!D19+'Future - the project'!D19</f>
        <v>664</v>
      </c>
      <c r="E19" s="5"/>
      <c r="F19" s="64" t="s">
        <v>32</v>
      </c>
      <c r="G19" s="224">
        <f>'Future without the project'!G19+'Future - the project'!G19</f>
        <v>609193.21610700013</v>
      </c>
      <c r="H19" s="225">
        <f>'Future without the project'!H19+'Future - the project'!H19</f>
        <v>807724.01143816148</v>
      </c>
      <c r="I19" s="226">
        <f>'Future without the project'!I19+'Future - the project'!I19</f>
        <v>1055675.0970170128</v>
      </c>
    </row>
    <row r="20" spans="1:9" ht="15.6" customHeight="1" x14ac:dyDescent="0.3">
      <c r="A20" s="57" t="s">
        <v>33</v>
      </c>
      <c r="B20" s="198">
        <f>'Future without the project'!B20+'Future - the project'!B20</f>
        <v>0</v>
      </c>
      <c r="C20" s="199">
        <f>'Future without the project'!C20+'Future - the project'!C20</f>
        <v>0</v>
      </c>
      <c r="D20" s="205">
        <f>'Future without the project'!D20+'Future - the project'!D20</f>
        <v>0</v>
      </c>
      <c r="E20" s="5"/>
      <c r="F20" s="63" t="s">
        <v>34</v>
      </c>
      <c r="G20" s="218">
        <f>'Future without the project'!G20+'Future - the project'!G20</f>
        <v>2041464.2738301007</v>
      </c>
      <c r="H20" s="219">
        <f>'Future without the project'!H20+'Future - the project'!H20</f>
        <v>2800033.7850595806</v>
      </c>
      <c r="I20" s="220">
        <f>'Future without the project'!I20+'Future - the project'!I20</f>
        <v>3698011.3961667432</v>
      </c>
    </row>
    <row r="21" spans="1:9" x14ac:dyDescent="0.3">
      <c r="A21" s="57" t="s">
        <v>35</v>
      </c>
      <c r="B21" s="198">
        <f>'Future without the project'!B21+'Future - the project'!B21</f>
        <v>73312</v>
      </c>
      <c r="C21" s="199">
        <f>'Future without the project'!C21+'Future - the project'!C21</f>
        <v>73312</v>
      </c>
      <c r="D21" s="205">
        <f>'Future without the project'!D21+'Future - the project'!D21</f>
        <v>73312</v>
      </c>
      <c r="E21" s="10"/>
      <c r="F21" s="63" t="s">
        <v>36</v>
      </c>
      <c r="G21" s="212">
        <f>'Future without the project'!G21+'Future - the project'!G21</f>
        <v>0</v>
      </c>
      <c r="H21" s="213">
        <f>'Future without the project'!H21+'Future - the project'!H21</f>
        <v>0</v>
      </c>
      <c r="I21" s="214">
        <f>'Future without the project'!I21+'Future - the project'!I21</f>
        <v>0</v>
      </c>
    </row>
    <row r="22" spans="1:9" x14ac:dyDescent="0.3">
      <c r="A22" s="58" t="s">
        <v>37</v>
      </c>
      <c r="B22" s="198">
        <f>'Future without the project'!B22+'Future - the project'!B22</f>
        <v>2041464.2738301007</v>
      </c>
      <c r="C22" s="199">
        <f>'Future without the project'!C22+'Future - the project'!C22</f>
        <v>2800033.7850595806</v>
      </c>
      <c r="D22" s="205">
        <f>'Future without the project'!D22+'Future - the project'!D22</f>
        <v>3698011.3961667432</v>
      </c>
      <c r="E22" s="10"/>
      <c r="F22" s="65" t="s">
        <v>38</v>
      </c>
      <c r="G22" s="221">
        <f>'Future without the project'!G22+'Future - the project'!G22</f>
        <v>2041464.2738301007</v>
      </c>
      <c r="H22" s="222">
        <f>'Future without the project'!H22+'Future - the project'!H22</f>
        <v>2800033.7850595806</v>
      </c>
      <c r="I22" s="223">
        <f>'Future without the project'!I22+'Future - the project'!I22</f>
        <v>3698011.3961667432</v>
      </c>
    </row>
    <row r="23" spans="1:9" x14ac:dyDescent="0.3">
      <c r="A23" s="56" t="s">
        <v>39</v>
      </c>
      <c r="B23" s="206">
        <f>'Future without the project'!B23+'Future - the project'!B23</f>
        <v>14108376.051023772</v>
      </c>
      <c r="C23" s="207">
        <f>'Future without the project'!C23+'Future - the project'!C23</f>
        <v>14502472.082630601</v>
      </c>
      <c r="D23" s="208">
        <f>'Future without the project'!D23+'Future - the project'!D23</f>
        <v>14936120.005213557</v>
      </c>
      <c r="E23" s="19"/>
      <c r="F23" s="20"/>
    </row>
    <row r="24" spans="1:9" x14ac:dyDescent="0.3">
      <c r="A24" s="57" t="s">
        <v>40</v>
      </c>
      <c r="B24" s="198">
        <f>'Future without the project'!B24+'Future - the project'!B24</f>
        <v>129522.51597511569</v>
      </c>
      <c r="C24" s="199">
        <f>'Future without the project'!C24+'Future - the project'!C24</f>
        <v>130544.42444934227</v>
      </c>
      <c r="D24" s="205">
        <f>'Future without the project'!D24+'Future - the project'!D24</f>
        <v>131258.48568945093</v>
      </c>
      <c r="E24" s="9"/>
      <c r="F24" s="9"/>
      <c r="G24" s="9"/>
      <c r="H24" s="9"/>
      <c r="I24" s="9"/>
    </row>
    <row r="25" spans="1:9" x14ac:dyDescent="0.3">
      <c r="A25" s="57" t="s">
        <v>41</v>
      </c>
      <c r="B25" s="198">
        <f>'Future without the project'!B25+'Future - the project'!B25</f>
        <v>22298.748171540065</v>
      </c>
      <c r="C25" s="199">
        <f>'Future without the project'!C25+'Future - the project'!C25</f>
        <v>24155.858067397981</v>
      </c>
      <c r="D25" s="205">
        <f>'Future without the project'!D25+'Future - the project'!D25</f>
        <v>26251.697137890191</v>
      </c>
      <c r="E25" s="9"/>
      <c r="F25" s="9"/>
      <c r="G25" s="9"/>
      <c r="H25" s="9"/>
      <c r="I25" s="9"/>
    </row>
    <row r="26" spans="1:9" x14ac:dyDescent="0.3">
      <c r="A26" s="57" t="s">
        <v>42</v>
      </c>
      <c r="B26" s="198">
        <f>'Future without the project'!B26+'Future - the project'!B26</f>
        <v>13356554.786877116</v>
      </c>
      <c r="C26" s="199">
        <f>'Future without the project'!C26+'Future - the project'!C26</f>
        <v>13936559.559750058</v>
      </c>
      <c r="D26" s="205">
        <f>'Future without the project'!D26+'Future - the project'!D26</f>
        <v>14567178.451164789</v>
      </c>
      <c r="E26" s="9"/>
      <c r="F26" s="9"/>
      <c r="G26" s="9"/>
      <c r="H26" s="9"/>
      <c r="I26" s="9"/>
    </row>
    <row r="27" spans="1:9" x14ac:dyDescent="0.3">
      <c r="A27" s="58" t="s">
        <v>43</v>
      </c>
      <c r="B27" s="198">
        <f>'Future without the project'!B27+'Future - the project'!B27</f>
        <v>600000</v>
      </c>
      <c r="C27" s="199">
        <f>'Future without the project'!C27+'Future - the project'!C27</f>
        <v>411212.24036380317</v>
      </c>
      <c r="D27" s="205">
        <f>'Future without the project'!D27+'Future - the project'!D27</f>
        <v>211431.37122142711</v>
      </c>
      <c r="E27" s="9"/>
      <c r="F27" s="9"/>
      <c r="G27" s="9"/>
      <c r="H27" s="9"/>
      <c r="I27" s="9"/>
    </row>
    <row r="28" spans="1:9" x14ac:dyDescent="0.3">
      <c r="A28" s="56" t="s">
        <v>21</v>
      </c>
      <c r="B28" s="206">
        <f>'Future without the project'!B28+'Future - the project'!B28</f>
        <v>184259.69042276964</v>
      </c>
      <c r="C28" s="207">
        <f>'Future without the project'!C28+'Future - the project'!C28</f>
        <v>238311.33498336747</v>
      </c>
      <c r="D28" s="208">
        <f>'Future without the project'!D28+'Future - the project'!D28</f>
        <v>300750.17695310153</v>
      </c>
      <c r="E28" s="9"/>
      <c r="F28" s="9"/>
      <c r="G28" s="9"/>
      <c r="H28" s="9"/>
      <c r="I28" s="9"/>
    </row>
    <row r="29" spans="1:9" x14ac:dyDescent="0.3">
      <c r="A29" s="56" t="s">
        <v>44</v>
      </c>
      <c r="B29" s="209">
        <f>'Future without the project'!B29+'Future - the project'!B29</f>
        <v>0</v>
      </c>
      <c r="C29" s="210">
        <f>'Future without the project'!C29+'Future - the project'!C29</f>
        <v>0</v>
      </c>
      <c r="D29" s="211">
        <f>'Future without the project'!D29+'Future - the project'!D29</f>
        <v>0</v>
      </c>
      <c r="E29" s="9"/>
      <c r="F29" s="9"/>
      <c r="G29" s="9"/>
      <c r="H29" s="9"/>
      <c r="I29" s="9"/>
    </row>
  </sheetData>
  <mergeCells count="2">
    <mergeCell ref="A1:D2"/>
    <mergeCell ref="F1:I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FC49-0AC6-44B2-99F8-F660ECBB5C2D}">
  <dimension ref="A1:I16"/>
  <sheetViews>
    <sheetView showGridLines="0" zoomScale="80" zoomScaleNormal="80" workbookViewId="0">
      <selection sqref="A1:F2"/>
    </sheetView>
  </sheetViews>
  <sheetFormatPr defaultColWidth="8.88671875" defaultRowHeight="15.6" x14ac:dyDescent="0.3"/>
  <cols>
    <col min="1" max="1" width="8.88671875" style="1" customWidth="1"/>
    <col min="2" max="2" width="15.77734375" style="275" customWidth="1"/>
    <col min="3" max="6" width="19.109375" style="1" customWidth="1"/>
    <col min="7" max="8" width="8.88671875" style="1" customWidth="1"/>
    <col min="9" max="9" width="14" style="1" customWidth="1"/>
    <col min="10" max="16384" width="8.88671875" style="1"/>
  </cols>
  <sheetData>
    <row r="1" spans="1:9" ht="15.6" customHeight="1" x14ac:dyDescent="0.3">
      <c r="A1" s="312" t="s">
        <v>73</v>
      </c>
      <c r="B1" s="312"/>
      <c r="C1" s="312"/>
      <c r="D1" s="312"/>
      <c r="E1" s="312"/>
      <c r="F1" s="312"/>
      <c r="G1" s="2"/>
      <c r="H1" s="2"/>
    </row>
    <row r="2" spans="1:9" ht="15.6" customHeight="1" x14ac:dyDescent="0.3">
      <c r="A2" s="313"/>
      <c r="B2" s="313"/>
      <c r="C2" s="313"/>
      <c r="D2" s="313"/>
      <c r="E2" s="313"/>
      <c r="F2" s="313"/>
      <c r="G2" s="2"/>
      <c r="H2" s="2"/>
    </row>
    <row r="3" spans="1:9" x14ac:dyDescent="0.3">
      <c r="A3" s="280" t="s">
        <v>74</v>
      </c>
      <c r="B3" s="281" t="s">
        <v>75</v>
      </c>
      <c r="C3" s="282" t="s">
        <v>76</v>
      </c>
      <c r="D3" s="281" t="s">
        <v>77</v>
      </c>
      <c r="E3" s="282" t="s">
        <v>78</v>
      </c>
      <c r="F3" s="283" t="s">
        <v>79</v>
      </c>
      <c r="G3" s="3"/>
      <c r="H3" s="3"/>
      <c r="I3" s="3"/>
    </row>
    <row r="4" spans="1:9" x14ac:dyDescent="0.3">
      <c r="A4" s="276"/>
      <c r="B4" s="271"/>
      <c r="C4" s="120"/>
      <c r="D4" s="123"/>
      <c r="E4" s="120"/>
      <c r="F4" s="116">
        <v>600000</v>
      </c>
      <c r="G4" s="3"/>
      <c r="H4" s="3"/>
      <c r="I4" s="3"/>
    </row>
    <row r="5" spans="1:9" x14ac:dyDescent="0.3">
      <c r="A5" s="277">
        <v>1</v>
      </c>
      <c r="B5" s="272">
        <v>43921</v>
      </c>
      <c r="C5" s="122">
        <v>54750</v>
      </c>
      <c r="D5" s="124">
        <f>F4*(0.057/4)</f>
        <v>8550</v>
      </c>
      <c r="E5" s="121">
        <f t="shared" ref="E5:E16" si="0">C5-D5</f>
        <v>46200</v>
      </c>
      <c r="F5" s="117">
        <f t="shared" ref="F5:F15" si="1">F4-E5</f>
        <v>553800</v>
      </c>
      <c r="G5" s="3"/>
      <c r="H5" s="3"/>
      <c r="I5" s="3"/>
    </row>
    <row r="6" spans="1:9" x14ac:dyDescent="0.3">
      <c r="A6" s="277">
        <v>2</v>
      </c>
      <c r="B6" s="272">
        <v>44012</v>
      </c>
      <c r="C6" s="122">
        <v>54750</v>
      </c>
      <c r="D6" s="125">
        <f t="shared" ref="D6:D16" si="2">F5*0.057/4</f>
        <v>7891.6500000000005</v>
      </c>
      <c r="E6" s="122">
        <f t="shared" si="0"/>
        <v>46858.35</v>
      </c>
      <c r="F6" s="118">
        <f>F5-E6</f>
        <v>506941.65</v>
      </c>
      <c r="G6" s="3"/>
      <c r="H6" s="3"/>
      <c r="I6" s="105"/>
    </row>
    <row r="7" spans="1:9" x14ac:dyDescent="0.3">
      <c r="A7" s="277">
        <v>3</v>
      </c>
      <c r="B7" s="272">
        <v>44104</v>
      </c>
      <c r="C7" s="122">
        <v>54750</v>
      </c>
      <c r="D7" s="125">
        <f t="shared" si="2"/>
        <v>7223.9185125000004</v>
      </c>
      <c r="E7" s="122">
        <f t="shared" si="0"/>
        <v>47526.0814875</v>
      </c>
      <c r="F7" s="118">
        <f t="shared" si="1"/>
        <v>459415.56851250003</v>
      </c>
      <c r="G7" s="3"/>
      <c r="H7" s="3"/>
      <c r="I7" s="3"/>
    </row>
    <row r="8" spans="1:9" x14ac:dyDescent="0.3">
      <c r="A8" s="277">
        <v>4</v>
      </c>
      <c r="B8" s="272">
        <v>44196</v>
      </c>
      <c r="C8" s="122">
        <v>54750</v>
      </c>
      <c r="D8" s="125">
        <f t="shared" si="2"/>
        <v>6546.6718513031255</v>
      </c>
      <c r="E8" s="122">
        <f t="shared" si="0"/>
        <v>48203.328148696877</v>
      </c>
      <c r="F8" s="118">
        <f t="shared" si="1"/>
        <v>411212.24036380317</v>
      </c>
      <c r="G8" s="3"/>
      <c r="H8" s="3"/>
      <c r="I8" s="105"/>
    </row>
    <row r="9" spans="1:9" x14ac:dyDescent="0.3">
      <c r="A9" s="278">
        <v>5</v>
      </c>
      <c r="B9" s="273">
        <v>44286</v>
      </c>
      <c r="C9" s="122">
        <v>54750</v>
      </c>
      <c r="D9" s="125">
        <f t="shared" si="2"/>
        <v>5859.774425184195</v>
      </c>
      <c r="E9" s="122">
        <f t="shared" si="0"/>
        <v>48890.225574815806</v>
      </c>
      <c r="F9" s="118">
        <f t="shared" si="1"/>
        <v>362322.01478898735</v>
      </c>
      <c r="G9" s="3"/>
      <c r="H9" s="3"/>
      <c r="I9" s="3"/>
    </row>
    <row r="10" spans="1:9" ht="15.6" customHeight="1" x14ac:dyDescent="0.3">
      <c r="A10" s="278">
        <v>6</v>
      </c>
      <c r="B10" s="273">
        <v>44377</v>
      </c>
      <c r="C10" s="122">
        <v>54750</v>
      </c>
      <c r="D10" s="125">
        <f t="shared" si="2"/>
        <v>5163.0887107430699</v>
      </c>
      <c r="E10" s="122">
        <f t="shared" si="0"/>
        <v>49586.911289256932</v>
      </c>
      <c r="F10" s="118">
        <f t="shared" si="1"/>
        <v>312735.10349973041</v>
      </c>
      <c r="G10" s="4"/>
      <c r="H10" s="4"/>
      <c r="I10" s="3"/>
    </row>
    <row r="11" spans="1:9" ht="16.2" customHeight="1" x14ac:dyDescent="0.3">
      <c r="A11" s="278">
        <v>7</v>
      </c>
      <c r="B11" s="273">
        <v>44469</v>
      </c>
      <c r="C11" s="122">
        <v>54750</v>
      </c>
      <c r="D11" s="125">
        <f t="shared" si="2"/>
        <v>4456.4752248711584</v>
      </c>
      <c r="E11" s="122">
        <f t="shared" si="0"/>
        <v>50293.524775128841</v>
      </c>
      <c r="F11" s="118">
        <f t="shared" si="1"/>
        <v>262441.57872460154</v>
      </c>
      <c r="G11" s="4"/>
      <c r="H11" s="4"/>
      <c r="I11" s="3"/>
    </row>
    <row r="12" spans="1:9" x14ac:dyDescent="0.3">
      <c r="A12" s="278">
        <v>8</v>
      </c>
      <c r="B12" s="273">
        <v>44561</v>
      </c>
      <c r="C12" s="122">
        <v>54750</v>
      </c>
      <c r="D12" s="125">
        <f t="shared" si="2"/>
        <v>3739.792496825572</v>
      </c>
      <c r="E12" s="122">
        <f t="shared" si="0"/>
        <v>51010.207503174432</v>
      </c>
      <c r="F12" s="118">
        <f t="shared" si="1"/>
        <v>211431.37122142711</v>
      </c>
      <c r="G12" s="3"/>
      <c r="H12" s="3"/>
      <c r="I12" s="3"/>
    </row>
    <row r="13" spans="1:9" x14ac:dyDescent="0.3">
      <c r="A13" s="278">
        <v>9</v>
      </c>
      <c r="B13" s="273">
        <v>44651</v>
      </c>
      <c r="C13" s="122">
        <v>54750</v>
      </c>
      <c r="D13" s="125">
        <f t="shared" si="2"/>
        <v>3012.8970399053364</v>
      </c>
      <c r="E13" s="122">
        <f t="shared" si="0"/>
        <v>51737.102960094664</v>
      </c>
      <c r="F13" s="118">
        <f t="shared" si="1"/>
        <v>159694.26826133244</v>
      </c>
      <c r="G13" s="3"/>
      <c r="H13" s="3"/>
      <c r="I13" s="3"/>
    </row>
    <row r="14" spans="1:9" x14ac:dyDescent="0.3">
      <c r="A14" s="278">
        <v>10</v>
      </c>
      <c r="B14" s="273">
        <v>44742</v>
      </c>
      <c r="C14" s="122">
        <v>54750</v>
      </c>
      <c r="D14" s="125">
        <f t="shared" si="2"/>
        <v>2275.6433227239872</v>
      </c>
      <c r="E14" s="122">
        <f t="shared" si="0"/>
        <v>52474.35667727601</v>
      </c>
      <c r="F14" s="118">
        <f t="shared" si="1"/>
        <v>107219.91158405643</v>
      </c>
      <c r="G14" s="3"/>
      <c r="H14" s="3"/>
      <c r="I14" s="3"/>
    </row>
    <row r="15" spans="1:9" x14ac:dyDescent="0.3">
      <c r="A15" s="278">
        <v>11</v>
      </c>
      <c r="B15" s="273">
        <v>44834</v>
      </c>
      <c r="C15" s="122">
        <v>54750</v>
      </c>
      <c r="D15" s="125">
        <f t="shared" si="2"/>
        <v>1527.8837400728041</v>
      </c>
      <c r="E15" s="122">
        <f t="shared" si="0"/>
        <v>53222.116259927199</v>
      </c>
      <c r="F15" s="118">
        <f t="shared" si="1"/>
        <v>53997.795324129234</v>
      </c>
      <c r="G15" s="3"/>
      <c r="H15" s="3"/>
      <c r="I15" s="3"/>
    </row>
    <row r="16" spans="1:9" x14ac:dyDescent="0.3">
      <c r="A16" s="279">
        <v>12</v>
      </c>
      <c r="B16" s="274">
        <v>44926</v>
      </c>
      <c r="C16" s="127">
        <f>F15+D16</f>
        <v>54767.263907498076</v>
      </c>
      <c r="D16" s="126">
        <f t="shared" si="2"/>
        <v>769.46858336884156</v>
      </c>
      <c r="E16" s="127">
        <f t="shared" si="0"/>
        <v>53997.795324129234</v>
      </c>
      <c r="F16" s="119">
        <f>F15-E16</f>
        <v>0</v>
      </c>
    </row>
  </sheetData>
  <mergeCells count="1">
    <mergeCell ref="A1:F2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CA27-EEC0-4DA1-A584-902EF0906978}">
  <dimension ref="A1:R25"/>
  <sheetViews>
    <sheetView showGridLines="0" zoomScale="80" zoomScaleNormal="80" workbookViewId="0">
      <selection sqref="A1:D2"/>
    </sheetView>
  </sheetViews>
  <sheetFormatPr defaultColWidth="8.88671875" defaultRowHeight="15.6" x14ac:dyDescent="0.3"/>
  <cols>
    <col min="1" max="1" width="33.33203125" style="8" customWidth="1"/>
    <col min="2" max="4" width="13.5546875" style="8" customWidth="1"/>
    <col min="5" max="5" width="8.88671875" style="8"/>
    <col min="6" max="6" width="22.109375" style="8" customWidth="1"/>
    <col min="7" max="7" width="15.6640625" style="8" customWidth="1"/>
    <col min="8" max="8" width="18.44140625" style="8" customWidth="1"/>
    <col min="9" max="18" width="15.6640625" style="8" customWidth="1"/>
    <col min="19" max="16384" width="8.88671875" style="8"/>
  </cols>
  <sheetData>
    <row r="1" spans="1:18" ht="15.6" customHeight="1" x14ac:dyDescent="0.3">
      <c r="A1" s="314" t="s">
        <v>80</v>
      </c>
      <c r="B1" s="314"/>
      <c r="C1" s="314"/>
      <c r="D1" s="314"/>
      <c r="E1" s="22"/>
      <c r="F1" s="314" t="s">
        <v>81</v>
      </c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</row>
    <row r="2" spans="1:18" ht="16.2" customHeight="1" thickBot="1" x14ac:dyDescent="0.35">
      <c r="A2" s="314"/>
      <c r="B2" s="314"/>
      <c r="C2" s="314"/>
      <c r="D2" s="314"/>
      <c r="E2" s="22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</row>
    <row r="3" spans="1:18" ht="16.2" thickBot="1" x14ac:dyDescent="0.35">
      <c r="A3" s="50" t="s">
        <v>82</v>
      </c>
      <c r="B3" s="24">
        <v>2016</v>
      </c>
      <c r="C3" s="25">
        <v>2017</v>
      </c>
      <c r="D3" s="26">
        <v>2018</v>
      </c>
      <c r="E3" s="20"/>
      <c r="F3" s="29"/>
      <c r="G3" s="29"/>
      <c r="H3" s="29"/>
      <c r="I3" s="29"/>
      <c r="J3" s="29"/>
      <c r="K3" s="29"/>
      <c r="L3" s="29"/>
      <c r="M3" s="30" t="s">
        <v>83</v>
      </c>
      <c r="N3" s="88"/>
      <c r="O3" s="88"/>
      <c r="P3" s="88"/>
      <c r="Q3" s="88"/>
      <c r="R3" s="88"/>
    </row>
    <row r="4" spans="1:18" ht="16.2" thickBot="1" x14ac:dyDescent="0.35">
      <c r="A4" s="52" t="s">
        <v>84</v>
      </c>
      <c r="B4" s="46">
        <f>'Past performance'!G22/'Past performance'!B4</f>
        <v>3.975359460286345E-2</v>
      </c>
      <c r="C4" s="47">
        <f>'Past performance'!H22/'Past performance'!C4</f>
        <v>7.3289551056537464E-2</v>
      </c>
      <c r="D4" s="48">
        <f>'Past performance'!I22/'Past performance'!D4</f>
        <v>9.9308783256311428E-2</v>
      </c>
      <c r="E4" s="20"/>
      <c r="F4" s="29"/>
      <c r="G4" s="29"/>
      <c r="H4" s="29"/>
      <c r="I4" s="29"/>
      <c r="J4" s="29"/>
      <c r="K4" s="29"/>
      <c r="L4" s="29"/>
      <c r="M4" s="49">
        <f>D5</f>
        <v>0.95114686543647542</v>
      </c>
      <c r="N4" s="88"/>
      <c r="O4" s="88"/>
      <c r="P4" s="88"/>
      <c r="Q4" s="88"/>
      <c r="R4" s="88"/>
    </row>
    <row r="5" spans="1:18" ht="16.2" thickBot="1" x14ac:dyDescent="0.35">
      <c r="A5" s="53" t="s">
        <v>85</v>
      </c>
      <c r="B5" s="46">
        <f>'Past performance'!G22/'Past performance'!B17</f>
        <v>0.85999503300619484</v>
      </c>
      <c r="C5" s="47">
        <f>'Past performance'!H22/'Past performance'!C17</f>
        <v>0.90698551851693732</v>
      </c>
      <c r="D5" s="48">
        <f>'Past performance'!I22/'Past performance'!D17</f>
        <v>0.95114686543647542</v>
      </c>
      <c r="E5" s="20"/>
      <c r="F5" s="29"/>
      <c r="G5" s="29"/>
      <c r="H5" s="29"/>
      <c r="I5" s="29"/>
      <c r="J5" s="29"/>
      <c r="K5" s="29"/>
      <c r="L5" s="29"/>
      <c r="M5" s="31"/>
      <c r="N5" s="88"/>
      <c r="O5" s="88"/>
      <c r="P5" s="88"/>
      <c r="Q5" s="88"/>
      <c r="R5" s="88"/>
    </row>
    <row r="6" spans="1:18" x14ac:dyDescent="0.3">
      <c r="A6" s="53" t="s">
        <v>86</v>
      </c>
      <c r="B6" s="46">
        <f>'Past performance'!G22/'Past performance'!G5</f>
        <v>1.8396170427208525E-2</v>
      </c>
      <c r="C6" s="47">
        <f>'Past performance'!H22/'Past performance'!H5</f>
        <v>2.3369696560330926E-2</v>
      </c>
      <c r="D6" s="48">
        <f>'Past performance'!I22/'Past performance'!I5</f>
        <v>4.1429732332678687E-2</v>
      </c>
      <c r="E6" s="20"/>
      <c r="F6" s="29"/>
      <c r="G6" s="29"/>
      <c r="H6" s="29"/>
      <c r="I6" s="29"/>
      <c r="J6" s="29"/>
      <c r="K6" s="29"/>
      <c r="L6" s="30" t="s">
        <v>87</v>
      </c>
      <c r="M6" s="315" t="s">
        <v>88</v>
      </c>
      <c r="N6" s="30" t="s">
        <v>89</v>
      </c>
      <c r="O6" s="88"/>
      <c r="P6" s="88"/>
      <c r="Q6" s="88"/>
      <c r="R6" s="88"/>
    </row>
    <row r="7" spans="1:18" ht="16.2" thickBot="1" x14ac:dyDescent="0.35">
      <c r="A7" s="53" t="s">
        <v>90</v>
      </c>
      <c r="B7" s="46">
        <f>'Past performance'!G12/('Past performance'!B4-'Past performance'!B26)</f>
        <v>0.19771448730305721</v>
      </c>
      <c r="C7" s="47">
        <f>'Past performance'!H12/('Past performance'!C4-'Past performance'!C26)</f>
        <v>1.3156830864062108</v>
      </c>
      <c r="D7" s="48">
        <f>'Past performance'!I12/('Past performance'!D4-'Past performance'!D26)</f>
        <v>1.2223737292279231</v>
      </c>
      <c r="F7" s="88"/>
      <c r="G7" s="88"/>
      <c r="H7" s="88"/>
      <c r="I7" s="88"/>
      <c r="J7" s="88"/>
      <c r="K7" s="88"/>
      <c r="L7" s="49">
        <f>D4</f>
        <v>9.9308783256311428E-2</v>
      </c>
      <c r="M7" s="315"/>
      <c r="N7" s="227">
        <f>'Past performance'!D4/'Past performance'!D17</f>
        <v>9.5776711208071994</v>
      </c>
      <c r="O7" s="88"/>
      <c r="P7" s="88"/>
      <c r="Q7" s="88"/>
      <c r="R7" s="88"/>
    </row>
    <row r="8" spans="1:18" ht="16.2" thickBot="1" x14ac:dyDescent="0.35">
      <c r="A8" s="53" t="s">
        <v>91</v>
      </c>
      <c r="B8" s="46">
        <f>'Past performance'!G12/'Past performance'!G5</f>
        <v>3.7310509350938978E-2</v>
      </c>
      <c r="C8" s="47">
        <f>'Past performance'!H12/'Past performance'!H5</f>
        <v>4.4216221734652013E-2</v>
      </c>
      <c r="D8" s="48">
        <f>'Past performance'!I12/'Past performance'!I5</f>
        <v>6.341685490224358E-2</v>
      </c>
      <c r="F8" s="88"/>
      <c r="G8" s="88"/>
      <c r="H8" s="88"/>
      <c r="I8" s="88"/>
      <c r="J8" s="32"/>
      <c r="K8" s="33"/>
      <c r="L8" s="34"/>
      <c r="M8" s="88"/>
      <c r="N8" s="88"/>
      <c r="O8" s="88"/>
      <c r="P8" s="88"/>
      <c r="Q8" s="88"/>
      <c r="R8" s="88"/>
    </row>
    <row r="9" spans="1:18" ht="16.2" thickBot="1" x14ac:dyDescent="0.35">
      <c r="A9" s="54" t="s">
        <v>92</v>
      </c>
      <c r="B9" s="66">
        <f>('Past performance'!G5-'Past performance'!G8)/'Past performance'!G5</f>
        <v>0.10879866676003705</v>
      </c>
      <c r="C9" s="67">
        <f>('Past performance'!H5-'Past performance'!H8)/'Past performance'!H5</f>
        <v>0.13825487369620215</v>
      </c>
      <c r="D9" s="68">
        <f>('Past performance'!I5-'Past performance'!I8)/'Past performance'!I5</f>
        <v>0.16843187617783065</v>
      </c>
      <c r="F9" s="88"/>
      <c r="G9" s="88"/>
      <c r="H9" s="88"/>
      <c r="I9" s="30" t="s">
        <v>93</v>
      </c>
      <c r="J9" s="316" t="s">
        <v>88</v>
      </c>
      <c r="K9" s="317"/>
      <c r="L9" s="318"/>
      <c r="M9" s="30" t="s">
        <v>94</v>
      </c>
      <c r="N9" s="88"/>
      <c r="O9" s="88"/>
      <c r="P9" s="88"/>
      <c r="Q9" s="88"/>
      <c r="R9" s="88"/>
    </row>
    <row r="10" spans="1:18" ht="16.2" thickBot="1" x14ac:dyDescent="0.35">
      <c r="A10" s="51" t="s">
        <v>95</v>
      </c>
      <c r="B10" s="38">
        <v>2016</v>
      </c>
      <c r="C10" s="39">
        <v>2017</v>
      </c>
      <c r="D10" s="40">
        <v>2018</v>
      </c>
      <c r="F10" s="88"/>
      <c r="G10" s="88"/>
      <c r="H10" s="88"/>
      <c r="I10" s="49">
        <f>D6</f>
        <v>4.1429732332678687E-2</v>
      </c>
      <c r="J10" s="316"/>
      <c r="K10" s="317"/>
      <c r="L10" s="318"/>
      <c r="M10" s="227">
        <f>'Past performance'!I5/'Past performance'!D4</f>
        <v>2.3970413918889659</v>
      </c>
      <c r="N10" s="88"/>
      <c r="O10" s="88"/>
      <c r="P10" s="88"/>
      <c r="Q10" s="88"/>
      <c r="R10" s="88"/>
    </row>
    <row r="11" spans="1:18" ht="16.2" thickBot="1" x14ac:dyDescent="0.35">
      <c r="A11" s="27" t="s">
        <v>96</v>
      </c>
      <c r="B11" s="228">
        <f>('Past performance'!B25+'Past performance'!B26)/'Past performance'!B17</f>
        <v>20.317861552862883</v>
      </c>
      <c r="C11" s="229">
        <f>('Past performance'!C25+'Past performance'!C26)/'Past performance'!C17</f>
        <v>11.143794861617666</v>
      </c>
      <c r="D11" s="230">
        <f>('Past performance'!D25+'Past performance'!D26)/'Past performance'!D17</f>
        <v>8.4001381692573407</v>
      </c>
      <c r="F11" s="88"/>
      <c r="G11" s="88"/>
      <c r="H11" s="88"/>
      <c r="I11" s="31"/>
      <c r="J11" s="88"/>
      <c r="K11" s="88"/>
      <c r="L11" s="88"/>
      <c r="M11" s="31"/>
      <c r="N11" s="88"/>
      <c r="O11" s="88"/>
      <c r="P11" s="88"/>
      <c r="Q11" s="88"/>
      <c r="R11" s="88"/>
    </row>
    <row r="12" spans="1:18" x14ac:dyDescent="0.3">
      <c r="A12" s="27" t="s">
        <v>97</v>
      </c>
      <c r="B12" s="46">
        <f>'Past performance'!B17/'Past performance'!B4</f>
        <v>4.6225376981423899E-2</v>
      </c>
      <c r="C12" s="47">
        <f>'Past performance'!C17/'Past performance'!C4</f>
        <v>8.0805646352961946E-2</v>
      </c>
      <c r="D12" s="48">
        <f>'Past performance'!D17/'Past performance'!D4</f>
        <v>0.10440951535990105</v>
      </c>
      <c r="F12" s="88"/>
      <c r="G12" s="88"/>
      <c r="H12" s="30" t="s">
        <v>98</v>
      </c>
      <c r="I12" s="315" t="s">
        <v>99</v>
      </c>
      <c r="J12" s="30" t="s">
        <v>100</v>
      </c>
      <c r="K12" s="88"/>
      <c r="L12" s="30" t="s">
        <v>100</v>
      </c>
      <c r="M12" s="315" t="s">
        <v>99</v>
      </c>
      <c r="N12" s="30" t="s">
        <v>101</v>
      </c>
      <c r="O12" s="88"/>
      <c r="P12" s="88"/>
      <c r="Q12" s="88"/>
      <c r="R12" s="88"/>
    </row>
    <row r="13" spans="1:18" ht="16.2" thickBot="1" x14ac:dyDescent="0.35">
      <c r="A13" s="27" t="s">
        <v>102</v>
      </c>
      <c r="B13" s="46">
        <f>('Past performance'!B25+'Past performance'!B26+'Past performance'!B28)/'Past performance'!B4</f>
        <v>0.9438792946555995</v>
      </c>
      <c r="C13" s="47">
        <f>('Past performance'!C25+'Past performance'!C26+'Past performance'!C28)/'Past performance'!C4</f>
        <v>0.90453295646724963</v>
      </c>
      <c r="D13" s="48">
        <f>('Past performance'!D25+'Past performance'!D26+'Past performance'!D28)/'Past performance'!D4</f>
        <v>0.88683125931612039</v>
      </c>
      <c r="F13" s="88"/>
      <c r="G13" s="88"/>
      <c r="H13" s="45">
        <f>'Past performance'!I22</f>
        <v>1569535</v>
      </c>
      <c r="I13" s="315"/>
      <c r="J13" s="45">
        <f>'Past performance'!I4</f>
        <v>40204935</v>
      </c>
      <c r="K13" s="88"/>
      <c r="L13" s="45">
        <f>'Past performance'!I5</f>
        <v>37884266</v>
      </c>
      <c r="M13" s="315"/>
      <c r="N13" s="45">
        <f>'Past performance'!D4</f>
        <v>15804594</v>
      </c>
      <c r="O13" s="88"/>
      <c r="P13" s="88"/>
      <c r="Q13" s="88"/>
      <c r="R13" s="88"/>
    </row>
    <row r="14" spans="1:18" ht="16.2" thickBot="1" x14ac:dyDescent="0.35">
      <c r="A14" s="27" t="s">
        <v>103</v>
      </c>
      <c r="B14" s="66">
        <f>'Past performance'!G12/'Past performance'!G16</f>
        <v>5.1133592314076095</v>
      </c>
      <c r="C14" s="67">
        <f>'Past performance'!H12/'Past performance'!H16</f>
        <v>6.8160611907260673</v>
      </c>
      <c r="D14" s="68">
        <v>1</v>
      </c>
      <c r="F14" s="88"/>
      <c r="G14" s="88"/>
      <c r="H14" s="31"/>
      <c r="I14" s="88"/>
      <c r="J14" s="88"/>
      <c r="K14" s="88"/>
      <c r="L14" s="88"/>
      <c r="M14" s="88"/>
      <c r="N14" s="31"/>
      <c r="O14" s="88"/>
      <c r="P14" s="88"/>
      <c r="Q14" s="88"/>
      <c r="R14" s="88"/>
    </row>
    <row r="15" spans="1:18" ht="16.2" thickBot="1" x14ac:dyDescent="0.35">
      <c r="A15" s="23" t="s">
        <v>104</v>
      </c>
      <c r="B15" s="38">
        <v>2016</v>
      </c>
      <c r="C15" s="39">
        <v>2017</v>
      </c>
      <c r="D15" s="40">
        <v>2018</v>
      </c>
      <c r="F15" s="88"/>
      <c r="G15" s="30" t="s">
        <v>100</v>
      </c>
      <c r="H15" s="319" t="s">
        <v>105</v>
      </c>
      <c r="I15" s="30" t="s">
        <v>106</v>
      </c>
      <c r="J15" s="88"/>
      <c r="K15" s="88"/>
      <c r="L15" s="88"/>
      <c r="M15" s="30" t="s">
        <v>107</v>
      </c>
      <c r="N15" s="319" t="s">
        <v>108</v>
      </c>
      <c r="O15" s="30" t="s">
        <v>109</v>
      </c>
      <c r="P15" s="88"/>
      <c r="Q15" s="88"/>
      <c r="R15" s="88"/>
    </row>
    <row r="16" spans="1:18" ht="16.2" thickBot="1" x14ac:dyDescent="0.35">
      <c r="A16" s="41" t="s">
        <v>110</v>
      </c>
      <c r="B16" s="42">
        <f>'Past performance'!B9-'Past performance'!B26</f>
        <v>-49358</v>
      </c>
      <c r="C16" s="43">
        <f>'Past performance'!C9-'Past performance'!C26</f>
        <v>-3703988</v>
      </c>
      <c r="D16" s="44">
        <f>'Past performance'!D9-'Past performance'!D26</f>
        <v>-2680069</v>
      </c>
      <c r="F16" s="88"/>
      <c r="G16" s="45">
        <f>'Past performance'!I4</f>
        <v>40204935</v>
      </c>
      <c r="H16" s="315"/>
      <c r="I16" s="45">
        <f>'Past performance'!I7+'Past performance'!I16+'Past performance'!I15+'Past performance'!I19</f>
        <v>38638687</v>
      </c>
      <c r="J16" s="88"/>
      <c r="K16" s="88"/>
      <c r="L16" s="88"/>
      <c r="M16" s="45">
        <f>'Past performance'!D5</f>
        <v>4368358</v>
      </c>
      <c r="N16" s="315"/>
      <c r="O16" s="45">
        <f>'Past performance'!D9</f>
        <v>11159086</v>
      </c>
      <c r="P16" s="88"/>
      <c r="Q16" s="88"/>
      <c r="R16" s="88"/>
    </row>
    <row r="17" spans="1:18" ht="16.2" thickBot="1" x14ac:dyDescent="0.35">
      <c r="A17" s="27" t="s">
        <v>111</v>
      </c>
      <c r="B17" s="46">
        <f>B16/'Past performance'!B4</f>
        <v>-3.9624664720087684E-3</v>
      </c>
      <c r="C17" s="47">
        <f>C16/'Past performance'!C4</f>
        <v>-0.34533928902577365</v>
      </c>
      <c r="D17" s="48">
        <f>D16/'Past performance'!D4</f>
        <v>-0.1695753146205464</v>
      </c>
      <c r="F17" s="88"/>
      <c r="G17" s="88"/>
      <c r="H17" s="88"/>
      <c r="I17" s="31"/>
      <c r="J17" s="88"/>
      <c r="K17" s="88"/>
      <c r="L17" s="88"/>
      <c r="M17" s="88"/>
      <c r="N17" s="88"/>
      <c r="O17" s="31"/>
      <c r="P17" s="32"/>
      <c r="Q17" s="35"/>
      <c r="R17" s="88"/>
    </row>
    <row r="18" spans="1:18" ht="16.2" thickBot="1" x14ac:dyDescent="0.35">
      <c r="A18" s="27" t="s">
        <v>112</v>
      </c>
      <c r="B18" s="46">
        <f>'Past performance'!B9/'Past performance'!B26</f>
        <v>0.99330896392509693</v>
      </c>
      <c r="C18" s="47">
        <f>'Past performance'!C9/'Past performance'!C26</f>
        <v>0.61397574896920037</v>
      </c>
      <c r="D18" s="48">
        <f>'Past performance'!D9/'Past performance'!D26</f>
        <v>0.80634157215523639</v>
      </c>
      <c r="F18" s="36"/>
      <c r="G18" s="33"/>
      <c r="H18" s="36"/>
      <c r="I18" s="88"/>
      <c r="J18" s="37"/>
      <c r="K18" s="33"/>
      <c r="L18" s="37"/>
      <c r="M18" s="88"/>
      <c r="N18" s="30" t="s">
        <v>113</v>
      </c>
      <c r="O18" s="319" t="s">
        <v>108</v>
      </c>
      <c r="P18" s="30" t="s">
        <v>114</v>
      </c>
      <c r="Q18" s="319" t="s">
        <v>108</v>
      </c>
      <c r="R18" s="30" t="s">
        <v>115</v>
      </c>
    </row>
    <row r="19" spans="1:18" ht="16.2" thickBot="1" x14ac:dyDescent="0.35">
      <c r="A19" s="27" t="s">
        <v>116</v>
      </c>
      <c r="B19" s="46">
        <f>'Past performance'!B13/'Past performance'!B26</f>
        <v>0.56902708312010664</v>
      </c>
      <c r="C19" s="47">
        <f>'Past performance'!C13/'Past performance'!C26</f>
        <v>0.25815893140970908</v>
      </c>
      <c r="D19" s="48">
        <f>'Past performance'!D13/'Past performance'!D26</f>
        <v>0.37332207060329914</v>
      </c>
      <c r="F19" s="30" t="s">
        <v>117</v>
      </c>
      <c r="G19" s="319" t="s">
        <v>108</v>
      </c>
      <c r="H19" s="30" t="s">
        <v>118</v>
      </c>
      <c r="I19" s="319" t="s">
        <v>108</v>
      </c>
      <c r="J19" s="30" t="s">
        <v>77</v>
      </c>
      <c r="K19" s="319" t="s">
        <v>108</v>
      </c>
      <c r="L19" s="30" t="s">
        <v>119</v>
      </c>
      <c r="M19" s="88"/>
      <c r="N19" s="45">
        <f>'Past performance'!D10</f>
        <v>1447230</v>
      </c>
      <c r="O19" s="315"/>
      <c r="P19" s="45">
        <f>'Past performance'!D11+'Past performance'!D12</f>
        <v>4545394</v>
      </c>
      <c r="Q19" s="315"/>
      <c r="R19" s="45">
        <f>'Past performance'!D13</f>
        <v>5166462</v>
      </c>
    </row>
    <row r="20" spans="1:18" x14ac:dyDescent="0.3">
      <c r="A20" s="27" t="s">
        <v>120</v>
      </c>
      <c r="B20" s="46">
        <f>('Past performance'!B9-'Past performance'!B10)/'Past performance'!B26</f>
        <v>0.91532785168506126</v>
      </c>
      <c r="C20" s="47">
        <f>('Past performance'!C9-'Past performance'!C10)/'Past performance'!C26</f>
        <v>0.4639902509801494</v>
      </c>
      <c r="D20" s="48">
        <f>('Past performance'!D9-'Past performance'!D10)/'Past performance'!D26</f>
        <v>0.70176654571756725</v>
      </c>
      <c r="F20" s="45">
        <f>'Past performance'!I10</f>
        <v>628825</v>
      </c>
      <c r="G20" s="315"/>
      <c r="H20" s="45">
        <f>'Past performance'!I19</f>
        <v>466625</v>
      </c>
      <c r="I20" s="315"/>
      <c r="J20" s="45">
        <f>'Past performance'!I16</f>
        <v>0</v>
      </c>
      <c r="K20" s="315"/>
      <c r="L20" s="45">
        <f>'Past performance'!I7+'Past performance'!I15-'Past performance'!I10</f>
        <v>37543237</v>
      </c>
      <c r="M20" s="88"/>
      <c r="N20" s="88"/>
      <c r="O20" s="88"/>
      <c r="P20" s="88"/>
      <c r="Q20" s="88"/>
      <c r="R20" s="88"/>
    </row>
    <row r="21" spans="1:18" x14ac:dyDescent="0.3">
      <c r="A21" s="28"/>
      <c r="B21" s="73">
        <v>2016</v>
      </c>
      <c r="C21" s="69">
        <v>2017</v>
      </c>
      <c r="D21" s="74">
        <v>2018</v>
      </c>
    </row>
    <row r="22" spans="1:18" x14ac:dyDescent="0.3">
      <c r="A22" s="23" t="s">
        <v>121</v>
      </c>
      <c r="B22" s="70">
        <f>('Past performance'!B18+'Past performance'!B19+'Past performance'!B21)/'Past performance'!B4</f>
        <v>6.4717823785604535E-3</v>
      </c>
      <c r="C22" s="71">
        <f>('Past performance'!C18+'Past performance'!C19+'Past performance'!C21)/'Past performance'!C4</f>
        <v>7.5160952964244869E-3</v>
      </c>
      <c r="D22" s="72">
        <f>('Past performance'!D18+'Past performance'!D19+'Past performance'!D21)/'Past performance'!D4</f>
        <v>5.1007321035896275E-3</v>
      </c>
    </row>
    <row r="24" spans="1:18" x14ac:dyDescent="0.3">
      <c r="A24" s="82" t="s">
        <v>122</v>
      </c>
      <c r="B24" s="83">
        <f>((C4-B4)+(D4-C4))/2</f>
        <v>2.9777594326723989E-2</v>
      </c>
      <c r="C24" s="91" t="s">
        <v>123</v>
      </c>
      <c r="D24" s="84">
        <f>D4+B24</f>
        <v>0.12908637758303543</v>
      </c>
    </row>
    <row r="25" spans="1:18" x14ac:dyDescent="0.3">
      <c r="A25" s="82" t="s">
        <v>124</v>
      </c>
      <c r="B25" s="83">
        <f>((C5-B5)+(D5-C5))/2</f>
        <v>4.5575916215140289E-2</v>
      </c>
      <c r="C25" s="82" t="s">
        <v>125</v>
      </c>
      <c r="D25" s="84">
        <f>D5+B25</f>
        <v>0.99672278165161576</v>
      </c>
    </row>
  </sheetData>
  <mergeCells count="13">
    <mergeCell ref="A1:D2"/>
    <mergeCell ref="M6:M7"/>
    <mergeCell ref="J9:L10"/>
    <mergeCell ref="I19:I20"/>
    <mergeCell ref="G19:G20"/>
    <mergeCell ref="H15:H16"/>
    <mergeCell ref="I12:I13"/>
    <mergeCell ref="F1:R2"/>
    <mergeCell ref="M12:M13"/>
    <mergeCell ref="Q18:Q19"/>
    <mergeCell ref="O18:O19"/>
    <mergeCell ref="N15:N16"/>
    <mergeCell ref="K19:K20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Past performance</vt:lpstr>
      <vt:lpstr>Future without the project</vt:lpstr>
      <vt:lpstr>Future - the project</vt:lpstr>
      <vt:lpstr>Future with the project</vt:lpstr>
      <vt:lpstr>Loan repayment</vt:lpstr>
      <vt:lpstr>Ratio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Karolína Švarcová</dc:creator>
  <cp:keywords/>
  <dc:description/>
  <cp:lastModifiedBy>Karolína Švarcová</cp:lastModifiedBy>
  <cp:revision/>
  <dcterms:created xsi:type="dcterms:W3CDTF">2019-10-25T19:49:27Z</dcterms:created>
  <dcterms:modified xsi:type="dcterms:W3CDTF">2019-11-13T22:11:22Z</dcterms:modified>
  <cp:category/>
  <cp:contentStatus/>
</cp:coreProperties>
</file>