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hoslav Rejent\Desktop\Magda\Banking_2020\"/>
    </mc:Choice>
  </mc:AlternateContent>
  <xr:revisionPtr revIDLastSave="0" documentId="13_ncr:1_{FA8F6F84-49C3-4360-A9DF-E612DF05CA72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03 - Bank" sheetId="8" r:id="rId1"/>
    <sheet name="T03 - Brothers Smith " sheetId="6" r:id="rId2"/>
    <sheet name="Loan repayment structure" sheetId="7" r:id="rId3"/>
  </sheet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8" l="1"/>
  <c r="D17" i="8"/>
  <c r="D14" i="8"/>
  <c r="D12" i="8"/>
  <c r="D8" i="8"/>
  <c r="D20" i="8" s="1"/>
  <c r="E26" i="8" s="1"/>
  <c r="B23" i="8" s="1"/>
  <c r="B4" i="8"/>
  <c r="C89" i="6" l="1"/>
  <c r="K24" i="7"/>
  <c r="K23" i="7"/>
  <c r="K22" i="7"/>
  <c r="K21" i="7"/>
  <c r="K20" i="7"/>
  <c r="K19" i="7"/>
  <c r="K18" i="7"/>
  <c r="K17" i="7"/>
  <c r="K16" i="7"/>
  <c r="K15" i="7"/>
  <c r="H15" i="7"/>
  <c r="C37" i="6" s="1"/>
  <c r="E12" i="7"/>
  <c r="G24" i="7" s="1"/>
  <c r="L24" i="7" l="1"/>
  <c r="G16" i="7"/>
  <c r="G17" i="7"/>
  <c r="G19" i="7"/>
  <c r="G15" i="7"/>
  <c r="G21" i="7"/>
  <c r="G23" i="7"/>
  <c r="G18" i="7"/>
  <c r="G20" i="7"/>
  <c r="G22" i="7"/>
  <c r="C21" i="6"/>
  <c r="E17" i="6" s="1"/>
  <c r="E21" i="6" s="1"/>
  <c r="L20" i="7" l="1"/>
  <c r="L15" i="7"/>
  <c r="G25" i="7"/>
  <c r="I15" i="7"/>
  <c r="C71" i="6" s="1"/>
  <c r="E71" i="6" s="1"/>
  <c r="L16" i="7"/>
  <c r="L18" i="7"/>
  <c r="L23" i="7"/>
  <c r="L19" i="7"/>
  <c r="L22" i="7"/>
  <c r="L21" i="7"/>
  <c r="L17" i="7"/>
  <c r="C69" i="6"/>
  <c r="C63" i="6"/>
  <c r="C47" i="6"/>
  <c r="C38" i="6"/>
  <c r="C73" i="6" s="1"/>
  <c r="C72" i="6"/>
  <c r="C33" i="6"/>
  <c r="E64" i="6" s="1"/>
  <c r="C27" i="6"/>
  <c r="C31" i="6" s="1"/>
  <c r="C34" i="6" s="1"/>
  <c r="E12" i="6"/>
  <c r="C12" i="6"/>
  <c r="L25" i="7" l="1"/>
  <c r="J15" i="7"/>
  <c r="C39" i="6"/>
  <c r="C41" i="6" s="1"/>
  <c r="C74" i="6" s="1"/>
  <c r="C76" i="6" s="1"/>
  <c r="C57" i="6" s="1"/>
  <c r="E47" i="6" l="1"/>
  <c r="C80" i="6"/>
  <c r="E82" i="6"/>
  <c r="C58" i="6"/>
  <c r="H16" i="7"/>
  <c r="C43" i="6"/>
  <c r="C88" i="6" l="1"/>
  <c r="C85" i="6"/>
  <c r="E80" i="6"/>
  <c r="E85" i="6" s="1"/>
  <c r="I16" i="7"/>
  <c r="E63" i="6"/>
  <c r="E76" i="6" s="1"/>
  <c r="E53" i="6"/>
  <c r="E58" i="6" s="1"/>
  <c r="J16" i="7" l="1"/>
  <c r="H17" i="7" l="1"/>
  <c r="I17" i="7" l="1"/>
  <c r="J17" i="7" l="1"/>
  <c r="H18" i="7" l="1"/>
  <c r="I18" i="7" l="1"/>
  <c r="J18" i="7" l="1"/>
  <c r="H19" i="7" l="1"/>
  <c r="I19" i="7" l="1"/>
  <c r="J19" i="7" l="1"/>
  <c r="H20" i="7" l="1"/>
  <c r="I20" i="7" l="1"/>
  <c r="J20" i="7" l="1"/>
  <c r="H21" i="7" l="1"/>
  <c r="I21" i="7" l="1"/>
  <c r="J21" i="7" l="1"/>
  <c r="H22" i="7" l="1"/>
  <c r="I22" i="7" l="1"/>
  <c r="J22" i="7" l="1"/>
  <c r="H23" i="7" l="1"/>
  <c r="I23" i="7" l="1"/>
  <c r="J23" i="7" l="1"/>
  <c r="H24" i="7" l="1"/>
  <c r="I24" i="7" l="1"/>
  <c r="H25" i="7"/>
  <c r="I25" i="7" l="1"/>
  <c r="J24" i="7"/>
</calcChain>
</file>

<file path=xl/sharedStrings.xml><?xml version="1.0" encoding="utf-8"?>
<sst xmlns="http://schemas.openxmlformats.org/spreadsheetml/2006/main" count="142" uniqueCount="100">
  <si>
    <t>2.</t>
  </si>
  <si>
    <t>3.</t>
  </si>
  <si>
    <t>4.</t>
  </si>
  <si>
    <t>5.</t>
  </si>
  <si>
    <t>6.</t>
  </si>
  <si>
    <t>Řešení</t>
  </si>
  <si>
    <t>Solution</t>
  </si>
  <si>
    <t xml:space="preserve">PRIBOR </t>
  </si>
  <si>
    <t xml:space="preserve">1. </t>
  </si>
  <si>
    <t>As of 1.1.</t>
  </si>
  <si>
    <t>Assest</t>
  </si>
  <si>
    <t>Liabilities (incl. Equity)</t>
  </si>
  <si>
    <t>Technology</t>
  </si>
  <si>
    <t>Investment loan</t>
  </si>
  <si>
    <t>Inventories</t>
  </si>
  <si>
    <t>Operating financing</t>
  </si>
  <si>
    <t>at PRIBOR + 0,5 %</t>
  </si>
  <si>
    <t>-   fruits</t>
  </si>
  <si>
    <t>-   sugar</t>
  </si>
  <si>
    <t>Equity</t>
  </si>
  <si>
    <t>Cash</t>
  </si>
  <si>
    <t>P/L, Income statement</t>
  </si>
  <si>
    <t>Sales</t>
  </si>
  <si>
    <t>COGS (Inventories consumed)</t>
  </si>
  <si>
    <t>Electricity and water</t>
  </si>
  <si>
    <t>Rent</t>
  </si>
  <si>
    <t>Car rental</t>
  </si>
  <si>
    <t>EBITDA</t>
  </si>
  <si>
    <t>Technology depreciation</t>
  </si>
  <si>
    <t>EBIT</t>
  </si>
  <si>
    <t>Interest paid</t>
  </si>
  <si>
    <t>EBT</t>
  </si>
  <si>
    <r>
      <t xml:space="preserve">Tax </t>
    </r>
    <r>
      <rPr>
        <sz val="11"/>
        <color theme="1"/>
        <rFont val="Calibri"/>
        <family val="2"/>
        <charset val="238"/>
      </rPr>
      <t>@15 %</t>
    </r>
  </si>
  <si>
    <t>Net Income</t>
  </si>
  <si>
    <t>As of 31.12.</t>
  </si>
  <si>
    <t>Capital</t>
  </si>
  <si>
    <t>Receivables</t>
  </si>
  <si>
    <t>NI</t>
  </si>
  <si>
    <t>"original" cash</t>
  </si>
  <si>
    <t>newly generated cash</t>
  </si>
  <si>
    <t>Cash flow direct method</t>
  </si>
  <si>
    <t>Cash flow indirect method</t>
  </si>
  <si>
    <t>cash already consumed</t>
  </si>
  <si>
    <t>depreciation</t>
  </si>
  <si>
    <t>change in receivables</t>
  </si>
  <si>
    <t>change in inventories</t>
  </si>
  <si>
    <t>principal repayment</t>
  </si>
  <si>
    <t>interest payment (investment loan)</t>
  </si>
  <si>
    <t xml:space="preserve">operating financing </t>
  </si>
  <si>
    <t>tax</t>
  </si>
  <si>
    <t>Brothers Smith</t>
  </si>
  <si>
    <t>BANK</t>
  </si>
  <si>
    <t>Investment loan to Brothers Smith</t>
  </si>
  <si>
    <t>Revolving loan</t>
  </si>
  <si>
    <t>Deposit of Brothers Smith</t>
  </si>
  <si>
    <t>Other deposits</t>
  </si>
  <si>
    <t>400*0,08</t>
  </si>
  <si>
    <t xml:space="preserve">Deposit of Brothers Smith </t>
  </si>
  <si>
    <t>Principal</t>
  </si>
  <si>
    <t>Interest rate</t>
  </si>
  <si>
    <t>Maturity</t>
  </si>
  <si>
    <t>Instalments per year</t>
  </si>
  <si>
    <t>Annuity</t>
  </si>
  <si>
    <t>Rok</t>
  </si>
  <si>
    <t>Splátka/
Instalment</t>
  </si>
  <si>
    <t>Splátka úroku/
Interest paid</t>
  </si>
  <si>
    <t>Splátka jistiny/ Principal paid</t>
  </si>
  <si>
    <t>Zbytek jistiny/
Principal left</t>
  </si>
  <si>
    <t>Diskontní faktor/
Discount factor</t>
  </si>
  <si>
    <t>PV splátek / PV of instalments</t>
  </si>
  <si>
    <t>Příklad 1 (Anuita)</t>
  </si>
  <si>
    <t xml:space="preserve"> Example 1 (Annuity)</t>
  </si>
  <si>
    <t xml:space="preserve"> </t>
  </si>
  <si>
    <t>Jistina</t>
  </si>
  <si>
    <t>Úroková sazba</t>
  </si>
  <si>
    <t>Splatnost</t>
  </si>
  <si>
    <t>Počet splátek ročně</t>
  </si>
  <si>
    <t>Splátka</t>
  </si>
  <si>
    <t>Calculate an instalment for a CZK 300 loan with 10-year maturity, interest rate at 5% and yearly instalments.</t>
  </si>
  <si>
    <t>Invetsment loan (300 - repayment)</t>
  </si>
  <si>
    <t>Capital requirement</t>
  </si>
  <si>
    <t>Assets</t>
  </si>
  <si>
    <t>Central bank</t>
  </si>
  <si>
    <t>ČEZ Bonds</t>
  </si>
  <si>
    <t>Loan portfolio</t>
  </si>
  <si>
    <t>Liabilities</t>
  </si>
  <si>
    <t>Bonds issued</t>
  </si>
  <si>
    <t>Basic Capital</t>
  </si>
  <si>
    <t>Este shares</t>
  </si>
  <si>
    <t>capital gain</t>
  </si>
  <si>
    <t>dividends</t>
  </si>
  <si>
    <t>coupon</t>
  </si>
  <si>
    <t>revaluation</t>
  </si>
  <si>
    <t>through P/L or OCI</t>
  </si>
  <si>
    <t>Costs</t>
  </si>
  <si>
    <t>Revenues</t>
  </si>
  <si>
    <t>deposits collected</t>
  </si>
  <si>
    <t>bonds issued</t>
  </si>
  <si>
    <t>Deposits</t>
  </si>
  <si>
    <t>Net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</si>
</sst>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9" fontId="0" fillId="0" borderId="0" xfId="0" applyNumberFormat="1"/>
    <xf numFmtId="0" fontId="2" fillId="0" borderId="1" xfId="0" applyFont="1" applyBorder="1"/>
    <xf numFmtId="0" fontId="0" fillId="0" borderId="1" xfId="0" applyBorder="1"/>
    <xf numFmtId="10" fontId="0" fillId="0" borderId="0" xfId="0" applyNumberFormat="1"/>
    <xf numFmtId="49" fontId="0" fillId="0" borderId="1" xfId="0" applyNumberFormat="1" applyBorder="1"/>
    <xf numFmtId="0" fontId="2" fillId="0" borderId="0" xfId="0" applyFont="1"/>
    <xf numFmtId="0" fontId="0" fillId="0" borderId="7" xfId="0" applyBorder="1"/>
    <xf numFmtId="2" fontId="2" fillId="0" borderId="0" xfId="0" applyNumberFormat="1" applyFont="1"/>
    <xf numFmtId="2" fontId="0" fillId="0" borderId="0" xfId="0" applyNumberFormat="1"/>
    <xf numFmtId="164" fontId="0" fillId="0" borderId="1" xfId="0" applyNumberFormat="1" applyBorder="1"/>
    <xf numFmtId="0" fontId="1" fillId="0" borderId="1" xfId="0" applyFont="1" applyBorder="1"/>
    <xf numFmtId="164" fontId="2" fillId="0" borderId="0" xfId="0" applyNumberFormat="1" applyFont="1"/>
    <xf numFmtId="0" fontId="2" fillId="2" borderId="1" xfId="0" applyFont="1" applyFill="1" applyBorder="1"/>
    <xf numFmtId="0" fontId="2" fillId="2" borderId="0" xfId="0" applyFont="1" applyFill="1"/>
    <xf numFmtId="0" fontId="2" fillId="3" borderId="5" xfId="0" applyFont="1" applyFill="1" applyBorder="1"/>
    <xf numFmtId="164" fontId="2" fillId="3" borderId="6" xfId="0" applyNumberFormat="1" applyFont="1" applyFill="1" applyBorder="1"/>
    <xf numFmtId="0" fontId="0" fillId="2" borderId="0" xfId="0" applyFill="1"/>
    <xf numFmtId="0" fontId="0" fillId="0" borderId="1" xfId="0" applyFont="1" applyFill="1" applyBorder="1"/>
    <xf numFmtId="0" fontId="0" fillId="0" borderId="0" xfId="0" applyFont="1"/>
    <xf numFmtId="2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4" fontId="0" fillId="0" borderId="0" xfId="0" applyNumberFormat="1"/>
    <xf numFmtId="0" fontId="0" fillId="0" borderId="12" xfId="0" applyBorder="1"/>
    <xf numFmtId="0" fontId="0" fillId="0" borderId="13" xfId="0" applyBorder="1"/>
    <xf numFmtId="0" fontId="0" fillId="0" borderId="10" xfId="0" applyBorder="1"/>
    <xf numFmtId="164" fontId="2" fillId="3" borderId="11" xfId="0" applyNumberFormat="1" applyFont="1" applyFill="1" applyBorder="1"/>
    <xf numFmtId="0" fontId="4" fillId="0" borderId="1" xfId="0" applyFont="1" applyBorder="1"/>
    <xf numFmtId="0" fontId="4" fillId="0" borderId="0" xfId="0" applyFont="1"/>
    <xf numFmtId="164" fontId="4" fillId="0" borderId="0" xfId="0" applyNumberFormat="1" applyFont="1"/>
    <xf numFmtId="0" fontId="2" fillId="0" borderId="14" xfId="0" applyFont="1" applyBorder="1"/>
    <xf numFmtId="0" fontId="2" fillId="0" borderId="15" xfId="0" applyFont="1" applyBorder="1"/>
    <xf numFmtId="0" fontId="0" fillId="0" borderId="15" xfId="0" applyBorder="1"/>
    <xf numFmtId="0" fontId="0" fillId="0" borderId="16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17" xfId="0" applyBorder="1"/>
    <xf numFmtId="0" fontId="0" fillId="0" borderId="9" xfId="0" applyBorder="1"/>
    <xf numFmtId="0" fontId="0" fillId="0" borderId="2" xfId="0" applyBorder="1"/>
    <xf numFmtId="0" fontId="4" fillId="0" borderId="0" xfId="0" applyFont="1" applyBorder="1"/>
    <xf numFmtId="0" fontId="4" fillId="0" borderId="4" xfId="0" applyFont="1" applyBorder="1"/>
    <xf numFmtId="0" fontId="2" fillId="0" borderId="3" xfId="0" applyFont="1" applyBorder="1"/>
    <xf numFmtId="0" fontId="0" fillId="0" borderId="8" xfId="0" applyBorder="1"/>
    <xf numFmtId="0" fontId="0" fillId="0" borderId="18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927F4-D88C-4387-B0D7-88B7307016AC}">
  <dimension ref="A1:G26"/>
  <sheetViews>
    <sheetView tabSelected="1" workbookViewId="0">
      <selection activeCell="D28" sqref="D28"/>
    </sheetView>
  </sheetViews>
  <sheetFormatPr defaultRowHeight="14.4" x14ac:dyDescent="0.3"/>
  <cols>
    <col min="1" max="1" width="21.44140625" customWidth="1"/>
    <col min="2" max="2" width="11.77734375" bestFit="1" customWidth="1"/>
  </cols>
  <sheetData>
    <row r="1" spans="1:7" x14ac:dyDescent="0.3">
      <c r="A1" s="31" t="s">
        <v>81</v>
      </c>
      <c r="B1" s="32"/>
      <c r="C1" s="32"/>
      <c r="D1" s="32" t="s">
        <v>85</v>
      </c>
      <c r="E1" s="33"/>
      <c r="F1" s="33"/>
      <c r="G1" s="34"/>
    </row>
    <row r="2" spans="1:7" x14ac:dyDescent="0.3">
      <c r="A2" s="35" t="s">
        <v>82</v>
      </c>
      <c r="B2" s="36">
        <v>600</v>
      </c>
      <c r="C2" s="36"/>
      <c r="D2" s="44"/>
      <c r="E2" s="36">
        <v>300</v>
      </c>
      <c r="F2" s="36" t="s">
        <v>86</v>
      </c>
      <c r="G2" s="37"/>
    </row>
    <row r="3" spans="1:7" x14ac:dyDescent="0.3">
      <c r="A3" s="35" t="s">
        <v>83</v>
      </c>
      <c r="B3" s="36">
        <v>97</v>
      </c>
      <c r="C3" s="36"/>
      <c r="D3" s="44"/>
      <c r="E3" s="36">
        <v>500</v>
      </c>
      <c r="F3" s="36" t="s">
        <v>87</v>
      </c>
      <c r="G3" s="37"/>
    </row>
    <row r="4" spans="1:7" ht="15" thickBot="1" x14ac:dyDescent="0.35">
      <c r="A4" s="38" t="s">
        <v>84</v>
      </c>
      <c r="B4" s="39">
        <f>E2+E3-B2-B3</f>
        <v>103</v>
      </c>
      <c r="C4" s="39"/>
      <c r="D4" s="45"/>
      <c r="E4" s="39"/>
      <c r="F4" s="39"/>
      <c r="G4" s="40"/>
    </row>
    <row r="5" spans="1:7" ht="15" thickBot="1" x14ac:dyDescent="0.35"/>
    <row r="6" spans="1:7" x14ac:dyDescent="0.3">
      <c r="A6" s="31" t="s">
        <v>95</v>
      </c>
      <c r="B6" s="33"/>
      <c r="C6" s="33"/>
      <c r="D6" s="33"/>
      <c r="E6" s="33"/>
      <c r="F6" s="33"/>
      <c r="G6" s="34"/>
    </row>
    <row r="7" spans="1:7" x14ac:dyDescent="0.3">
      <c r="A7" s="35" t="s">
        <v>88</v>
      </c>
      <c r="B7" s="36"/>
      <c r="C7" s="36"/>
      <c r="D7" s="36"/>
      <c r="E7" s="36"/>
      <c r="F7" s="36"/>
      <c r="G7" s="37"/>
    </row>
    <row r="8" spans="1:7" x14ac:dyDescent="0.3">
      <c r="A8" s="35"/>
      <c r="B8" s="36" t="s">
        <v>89</v>
      </c>
      <c r="C8" s="36"/>
      <c r="D8" s="36">
        <f>278-265</f>
        <v>13</v>
      </c>
      <c r="E8" s="36"/>
      <c r="F8" s="36"/>
      <c r="G8" s="37"/>
    </row>
    <row r="9" spans="1:7" x14ac:dyDescent="0.3">
      <c r="A9" s="35"/>
      <c r="B9" s="36" t="s">
        <v>90</v>
      </c>
      <c r="C9" s="36"/>
      <c r="D9" s="36">
        <v>8</v>
      </c>
      <c r="E9" s="36"/>
      <c r="F9" s="36"/>
      <c r="G9" s="37"/>
    </row>
    <row r="10" spans="1:7" x14ac:dyDescent="0.3">
      <c r="A10" s="35"/>
      <c r="B10" s="36"/>
      <c r="C10" s="36"/>
      <c r="D10" s="36"/>
      <c r="E10" s="36"/>
      <c r="F10" s="36"/>
      <c r="G10" s="37"/>
    </row>
    <row r="11" spans="1:7" x14ac:dyDescent="0.3">
      <c r="A11" s="35" t="s">
        <v>83</v>
      </c>
      <c r="B11" s="36" t="s">
        <v>91</v>
      </c>
      <c r="C11" s="36"/>
      <c r="D11" s="36">
        <v>6</v>
      </c>
      <c r="E11" s="36"/>
      <c r="F11" s="36"/>
      <c r="G11" s="37"/>
    </row>
    <row r="12" spans="1:7" x14ac:dyDescent="0.3">
      <c r="A12" s="35"/>
      <c r="B12" s="36" t="s">
        <v>92</v>
      </c>
      <c r="C12" s="36"/>
      <c r="D12" s="41">
        <f>95-97</f>
        <v>-2</v>
      </c>
      <c r="E12" s="36"/>
      <c r="F12" s="41" t="s">
        <v>93</v>
      </c>
      <c r="G12" s="42"/>
    </row>
    <row r="13" spans="1:7" x14ac:dyDescent="0.3">
      <c r="A13" s="35"/>
      <c r="B13" s="36"/>
      <c r="C13" s="36"/>
      <c r="D13" s="36"/>
      <c r="E13" s="36"/>
      <c r="F13" s="36"/>
      <c r="G13" s="37"/>
    </row>
    <row r="14" spans="1:7" x14ac:dyDescent="0.3">
      <c r="A14" s="35" t="s">
        <v>84</v>
      </c>
      <c r="B14" s="36"/>
      <c r="C14" s="36"/>
      <c r="D14" s="36">
        <f>103*0.05</f>
        <v>5.15</v>
      </c>
      <c r="E14" s="36"/>
      <c r="F14" s="36"/>
      <c r="G14" s="37"/>
    </row>
    <row r="15" spans="1:7" x14ac:dyDescent="0.3">
      <c r="A15" s="35"/>
      <c r="B15" s="36"/>
      <c r="C15" s="36"/>
      <c r="D15" s="36"/>
      <c r="E15" s="36"/>
      <c r="F15" s="36"/>
      <c r="G15" s="37"/>
    </row>
    <row r="16" spans="1:7" x14ac:dyDescent="0.3">
      <c r="A16" s="43" t="s">
        <v>94</v>
      </c>
      <c r="B16" s="36"/>
      <c r="C16" s="36"/>
      <c r="D16" s="36"/>
      <c r="E16" s="36"/>
      <c r="F16" s="36"/>
      <c r="G16" s="37"/>
    </row>
    <row r="17" spans="1:7" x14ac:dyDescent="0.3">
      <c r="A17" s="35" t="s">
        <v>96</v>
      </c>
      <c r="B17" s="36"/>
      <c r="C17" s="36"/>
      <c r="D17" s="36">
        <f>100*0.015</f>
        <v>1.5</v>
      </c>
      <c r="E17" s="36"/>
      <c r="F17" s="36"/>
      <c r="G17" s="37"/>
    </row>
    <row r="18" spans="1:7" x14ac:dyDescent="0.3">
      <c r="A18" s="35" t="s">
        <v>97</v>
      </c>
      <c r="B18" s="36"/>
      <c r="C18" s="36"/>
      <c r="D18" s="36">
        <f>300*0.04</f>
        <v>12</v>
      </c>
      <c r="E18" s="36"/>
      <c r="F18" s="36"/>
      <c r="G18" s="37"/>
    </row>
    <row r="19" spans="1:7" x14ac:dyDescent="0.3">
      <c r="A19" s="35"/>
      <c r="B19" s="36"/>
      <c r="C19" s="36"/>
      <c r="D19" s="36"/>
      <c r="E19" s="36"/>
      <c r="F19" s="36"/>
      <c r="G19" s="37"/>
    </row>
    <row r="20" spans="1:7" ht="15" thickBot="1" x14ac:dyDescent="0.35">
      <c r="A20" s="38"/>
      <c r="B20" s="39"/>
      <c r="C20" s="39"/>
      <c r="D20" s="39">
        <f>D8+D9+D11+D12+D14+-D17-D18</f>
        <v>16.649999999999999</v>
      </c>
      <c r="E20" s="39"/>
      <c r="F20" s="39"/>
      <c r="G20" s="40"/>
    </row>
    <row r="21" spans="1:7" ht="15" thickBot="1" x14ac:dyDescent="0.35"/>
    <row r="22" spans="1:7" x14ac:dyDescent="0.3">
      <c r="A22" s="31" t="s">
        <v>81</v>
      </c>
      <c r="B22" s="32"/>
      <c r="C22" s="32"/>
      <c r="D22" s="32" t="s">
        <v>85</v>
      </c>
      <c r="E22" s="33"/>
      <c r="F22" s="33"/>
      <c r="G22" s="34"/>
    </row>
    <row r="23" spans="1:7" x14ac:dyDescent="0.3">
      <c r="A23" s="35" t="s">
        <v>82</v>
      </c>
      <c r="B23" s="36">
        <f>E23+E24+E25+E26-B24-B25</f>
        <v>818.65</v>
      </c>
      <c r="C23" s="36"/>
      <c r="D23" s="44"/>
      <c r="E23" s="36">
        <v>200</v>
      </c>
      <c r="F23" s="36" t="s">
        <v>98</v>
      </c>
      <c r="G23" s="37"/>
    </row>
    <row r="24" spans="1:7" x14ac:dyDescent="0.3">
      <c r="A24" s="35" t="s">
        <v>83</v>
      </c>
      <c r="B24" s="36">
        <v>95</v>
      </c>
      <c r="C24" s="36"/>
      <c r="D24" s="44"/>
      <c r="E24" s="36">
        <v>300</v>
      </c>
      <c r="F24" s="36" t="s">
        <v>86</v>
      </c>
      <c r="G24" s="37"/>
    </row>
    <row r="25" spans="1:7" x14ac:dyDescent="0.3">
      <c r="A25" s="35" t="s">
        <v>84</v>
      </c>
      <c r="B25" s="36">
        <v>103</v>
      </c>
      <c r="C25" s="36"/>
      <c r="D25" s="44"/>
      <c r="E25" s="36">
        <v>500</v>
      </c>
      <c r="F25" s="36" t="s">
        <v>87</v>
      </c>
      <c r="G25" s="37"/>
    </row>
    <row r="26" spans="1:7" ht="15" thickBot="1" x14ac:dyDescent="0.35">
      <c r="A26" s="38"/>
      <c r="B26" s="39"/>
      <c r="C26" s="39"/>
      <c r="D26" s="45"/>
      <c r="E26" s="39">
        <f>D20</f>
        <v>16.649999999999999</v>
      </c>
      <c r="F26" s="39" t="s">
        <v>99</v>
      </c>
      <c r="G26" s="40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6D871-541D-4890-8518-98FD2C6156E6}">
  <sheetPr>
    <pageSetUpPr fitToPage="1"/>
  </sheetPr>
  <dimension ref="A1:H89"/>
  <sheetViews>
    <sheetView workbookViewId="0">
      <selection activeCell="D26" sqref="D26"/>
    </sheetView>
  </sheetViews>
  <sheetFormatPr defaultRowHeight="14.4" x14ac:dyDescent="0.3"/>
  <cols>
    <col min="2" max="2" width="31.21875" customWidth="1"/>
    <col min="3" max="3" width="16" customWidth="1"/>
    <col min="4" max="4" width="38.44140625" customWidth="1"/>
    <col min="5" max="5" width="13.21875" customWidth="1"/>
  </cols>
  <sheetData>
    <row r="1" spans="1:8" x14ac:dyDescent="0.3">
      <c r="B1" t="s">
        <v>7</v>
      </c>
      <c r="C1" s="1">
        <v>0.01</v>
      </c>
    </row>
    <row r="3" spans="1:8" x14ac:dyDescent="0.3">
      <c r="A3" t="s">
        <v>8</v>
      </c>
      <c r="B3" t="s">
        <v>9</v>
      </c>
      <c r="C3" t="s">
        <v>50</v>
      </c>
    </row>
    <row r="4" spans="1:8" x14ac:dyDescent="0.3">
      <c r="B4" s="13" t="s">
        <v>10</v>
      </c>
      <c r="C4" s="13"/>
      <c r="D4" s="13" t="s">
        <v>11</v>
      </c>
      <c r="E4" s="13"/>
    </row>
    <row r="5" spans="1:8" x14ac:dyDescent="0.3">
      <c r="B5" s="3" t="s">
        <v>12</v>
      </c>
      <c r="C5" s="3">
        <v>300</v>
      </c>
      <c r="D5" s="3" t="s">
        <v>13</v>
      </c>
      <c r="E5" s="3">
        <v>300</v>
      </c>
    </row>
    <row r="6" spans="1:8" x14ac:dyDescent="0.3">
      <c r="B6" s="3"/>
      <c r="C6" s="3"/>
      <c r="D6" s="3"/>
      <c r="E6" s="3"/>
    </row>
    <row r="7" spans="1:8" x14ac:dyDescent="0.3">
      <c r="B7" s="3" t="s">
        <v>14</v>
      </c>
      <c r="C7" s="3"/>
      <c r="D7" s="3" t="s">
        <v>15</v>
      </c>
      <c r="E7" s="3">
        <v>100</v>
      </c>
      <c r="F7" t="s">
        <v>16</v>
      </c>
      <c r="H7" s="4">
        <v>5.0000000000000001E-3</v>
      </c>
    </row>
    <row r="8" spans="1:8" x14ac:dyDescent="0.3">
      <c r="B8" s="5" t="s">
        <v>17</v>
      </c>
      <c r="C8" s="3">
        <v>180</v>
      </c>
      <c r="D8" s="3"/>
      <c r="E8" s="3"/>
    </row>
    <row r="9" spans="1:8" x14ac:dyDescent="0.3">
      <c r="B9" s="5" t="s">
        <v>18</v>
      </c>
      <c r="C9" s="3">
        <v>100</v>
      </c>
      <c r="D9" s="3" t="s">
        <v>19</v>
      </c>
      <c r="E9" s="3">
        <v>200</v>
      </c>
    </row>
    <row r="10" spans="1:8" x14ac:dyDescent="0.3">
      <c r="B10" s="3"/>
      <c r="C10" s="3"/>
      <c r="D10" s="3"/>
      <c r="E10" s="3"/>
    </row>
    <row r="11" spans="1:8" x14ac:dyDescent="0.3">
      <c r="B11" s="3" t="s">
        <v>20</v>
      </c>
      <c r="C11" s="3">
        <v>20</v>
      </c>
      <c r="D11" s="3"/>
      <c r="E11" s="3"/>
    </row>
    <row r="12" spans="1:8" x14ac:dyDescent="0.3">
      <c r="C12" s="6">
        <f>SUM(C5:C11)</f>
        <v>600</v>
      </c>
      <c r="D12" s="6"/>
      <c r="E12" s="6">
        <f>SUM(E5:E11)</f>
        <v>600</v>
      </c>
    </row>
    <row r="15" spans="1:8" x14ac:dyDescent="0.3">
      <c r="C15" t="s">
        <v>51</v>
      </c>
    </row>
    <row r="16" spans="1:8" x14ac:dyDescent="0.3">
      <c r="A16" t="s">
        <v>0</v>
      </c>
      <c r="B16" s="13" t="s">
        <v>10</v>
      </c>
      <c r="C16" s="13"/>
      <c r="D16" s="13" t="s">
        <v>11</v>
      </c>
      <c r="E16" s="13"/>
    </row>
    <row r="17" spans="1:7" x14ac:dyDescent="0.3">
      <c r="B17" s="18" t="s">
        <v>52</v>
      </c>
      <c r="C17" s="18">
        <v>300</v>
      </c>
      <c r="D17" s="18" t="s">
        <v>55</v>
      </c>
      <c r="E17" s="18">
        <f>C21-E18-E20</f>
        <v>348</v>
      </c>
    </row>
    <row r="18" spans="1:7" x14ac:dyDescent="0.3">
      <c r="B18" s="18" t="s">
        <v>53</v>
      </c>
      <c r="C18" s="18">
        <v>100</v>
      </c>
      <c r="D18" s="18" t="s">
        <v>54</v>
      </c>
      <c r="E18" s="18">
        <v>20</v>
      </c>
    </row>
    <row r="19" spans="1:7" x14ac:dyDescent="0.3">
      <c r="B19" s="18"/>
      <c r="C19" s="18"/>
      <c r="D19" s="18"/>
      <c r="E19" s="18"/>
    </row>
    <row r="20" spans="1:7" x14ac:dyDescent="0.3">
      <c r="B20" s="18"/>
      <c r="C20" s="18"/>
      <c r="D20" s="18" t="s">
        <v>19</v>
      </c>
      <c r="E20" s="18">
        <v>32</v>
      </c>
      <c r="G20" t="s">
        <v>56</v>
      </c>
    </row>
    <row r="21" spans="1:7" x14ac:dyDescent="0.3">
      <c r="B21" s="19"/>
      <c r="C21" s="6">
        <f>SUM(C17:C20)</f>
        <v>400</v>
      </c>
      <c r="D21" s="6"/>
      <c r="E21" s="6">
        <f>SUM(E17:E20)</f>
        <v>400</v>
      </c>
    </row>
    <row r="24" spans="1:7" x14ac:dyDescent="0.3">
      <c r="A24" t="s">
        <v>1</v>
      </c>
      <c r="B24" s="14" t="s">
        <v>21</v>
      </c>
    </row>
    <row r="26" spans="1:7" x14ac:dyDescent="0.3">
      <c r="B26" t="s">
        <v>22</v>
      </c>
      <c r="C26">
        <v>800</v>
      </c>
    </row>
    <row r="27" spans="1:7" x14ac:dyDescent="0.3">
      <c r="B27" t="s">
        <v>23</v>
      </c>
      <c r="C27">
        <f>-(C8+C9)</f>
        <v>-280</v>
      </c>
    </row>
    <row r="28" spans="1:7" x14ac:dyDescent="0.3">
      <c r="B28" t="s">
        <v>24</v>
      </c>
      <c r="C28">
        <v>-100</v>
      </c>
    </row>
    <row r="29" spans="1:7" x14ac:dyDescent="0.3">
      <c r="B29" t="s">
        <v>25</v>
      </c>
      <c r="C29">
        <v>-200</v>
      </c>
    </row>
    <row r="30" spans="1:7" x14ac:dyDescent="0.3">
      <c r="B30" s="7" t="s">
        <v>26</v>
      </c>
      <c r="C30" s="7">
        <v>-20</v>
      </c>
    </row>
    <row r="31" spans="1:7" x14ac:dyDescent="0.3">
      <c r="B31" s="6" t="s">
        <v>27</v>
      </c>
      <c r="C31">
        <f>C26+C27+C28+C29+C30</f>
        <v>200</v>
      </c>
    </row>
    <row r="33" spans="1:5" x14ac:dyDescent="0.3">
      <c r="B33" s="7" t="s">
        <v>28</v>
      </c>
      <c r="C33" s="7">
        <f>-C5*0.25</f>
        <v>-75</v>
      </c>
    </row>
    <row r="34" spans="1:5" x14ac:dyDescent="0.3">
      <c r="B34" s="6" t="s">
        <v>29</v>
      </c>
      <c r="C34" s="8">
        <f>C31+C33</f>
        <v>125</v>
      </c>
    </row>
    <row r="36" spans="1:5" x14ac:dyDescent="0.3">
      <c r="B36" t="s">
        <v>30</v>
      </c>
    </row>
    <row r="37" spans="1:5" x14ac:dyDescent="0.3">
      <c r="B37" t="s">
        <v>13</v>
      </c>
      <c r="C37" s="9">
        <f>-'Loan repayment structure'!H15</f>
        <v>-15</v>
      </c>
    </row>
    <row r="38" spans="1:5" x14ac:dyDescent="0.3">
      <c r="B38" s="7" t="s">
        <v>15</v>
      </c>
      <c r="C38" s="7">
        <f>-E7*(C1+H7)</f>
        <v>-1.5</v>
      </c>
    </row>
    <row r="39" spans="1:5" x14ac:dyDescent="0.3">
      <c r="B39" s="6" t="s">
        <v>31</v>
      </c>
      <c r="C39" s="8">
        <f>C34+C37+C38</f>
        <v>108.5</v>
      </c>
    </row>
    <row r="41" spans="1:5" x14ac:dyDescent="0.3">
      <c r="B41" t="s">
        <v>32</v>
      </c>
      <c r="C41">
        <f>C39*0.15</f>
        <v>16.274999999999999</v>
      </c>
    </row>
    <row r="42" spans="1:5" ht="15" thickBot="1" x14ac:dyDescent="0.35"/>
    <row r="43" spans="1:5" ht="15" thickBot="1" x14ac:dyDescent="0.35">
      <c r="B43" s="15" t="s">
        <v>33</v>
      </c>
      <c r="C43" s="16">
        <f>C39-C41</f>
        <v>92.224999999999994</v>
      </c>
    </row>
    <row r="44" spans="1:5" x14ac:dyDescent="0.3">
      <c r="C44" s="9"/>
    </row>
    <row r="45" spans="1:5" x14ac:dyDescent="0.3">
      <c r="A45" t="s">
        <v>2</v>
      </c>
      <c r="B45" t="s">
        <v>34</v>
      </c>
      <c r="C45" t="s">
        <v>50</v>
      </c>
    </row>
    <row r="46" spans="1:5" x14ac:dyDescent="0.3">
      <c r="B46" s="13" t="s">
        <v>10</v>
      </c>
      <c r="C46" s="13"/>
      <c r="D46" s="13" t="s">
        <v>11</v>
      </c>
      <c r="E46" s="13"/>
    </row>
    <row r="47" spans="1:5" x14ac:dyDescent="0.3">
      <c r="B47" s="3" t="s">
        <v>12</v>
      </c>
      <c r="C47" s="3">
        <f>300-(0.25*300)</f>
        <v>225</v>
      </c>
      <c r="D47" s="3" t="s">
        <v>13</v>
      </c>
      <c r="E47" s="20">
        <f>'Loan repayment structure'!J15</f>
        <v>276.14862751036299</v>
      </c>
    </row>
    <row r="48" spans="1:5" x14ac:dyDescent="0.3">
      <c r="B48" s="3"/>
      <c r="C48" s="3"/>
      <c r="D48" s="3"/>
      <c r="E48" s="3"/>
    </row>
    <row r="49" spans="1:8" x14ac:dyDescent="0.3">
      <c r="B49" s="3" t="s">
        <v>14</v>
      </c>
      <c r="C49" s="3"/>
      <c r="D49" s="3" t="s">
        <v>15</v>
      </c>
      <c r="E49" s="3">
        <v>100</v>
      </c>
      <c r="F49" t="s">
        <v>16</v>
      </c>
      <c r="H49" s="4">
        <v>5.0000000000000001E-3</v>
      </c>
    </row>
    <row r="50" spans="1:8" x14ac:dyDescent="0.3">
      <c r="B50" s="5" t="s">
        <v>17</v>
      </c>
      <c r="C50" s="3">
        <v>0</v>
      </c>
      <c r="D50" s="3"/>
      <c r="E50" s="3"/>
    </row>
    <row r="51" spans="1:8" x14ac:dyDescent="0.3">
      <c r="B51" s="5" t="s">
        <v>18</v>
      </c>
      <c r="C51" s="3">
        <v>0</v>
      </c>
      <c r="D51" s="3" t="s">
        <v>19</v>
      </c>
      <c r="E51" s="3"/>
    </row>
    <row r="52" spans="1:8" ht="15" thickBot="1" x14ac:dyDescent="0.35">
      <c r="B52" s="3"/>
      <c r="C52" s="3"/>
      <c r="D52" s="3" t="s">
        <v>35</v>
      </c>
      <c r="E52" s="25">
        <v>200</v>
      </c>
    </row>
    <row r="53" spans="1:8" ht="15" thickBot="1" x14ac:dyDescent="0.35">
      <c r="B53" s="3" t="s">
        <v>36</v>
      </c>
      <c r="C53" s="3">
        <v>100</v>
      </c>
      <c r="D53" s="24" t="s">
        <v>37</v>
      </c>
      <c r="E53" s="27">
        <f>C43</f>
        <v>92.224999999999994</v>
      </c>
    </row>
    <row r="54" spans="1:8" x14ac:dyDescent="0.3">
      <c r="B54" s="3"/>
      <c r="C54" s="3"/>
      <c r="D54" s="3"/>
      <c r="E54" s="26"/>
    </row>
    <row r="55" spans="1:8" x14ac:dyDescent="0.3">
      <c r="B55" s="3" t="s">
        <v>20</v>
      </c>
      <c r="C55" s="3"/>
      <c r="D55" s="3"/>
      <c r="E55" s="3"/>
    </row>
    <row r="56" spans="1:8" x14ac:dyDescent="0.3">
      <c r="B56" s="3" t="s">
        <v>38</v>
      </c>
      <c r="C56" s="3">
        <v>20</v>
      </c>
      <c r="D56" s="3"/>
      <c r="E56" s="3"/>
    </row>
    <row r="57" spans="1:8" x14ac:dyDescent="0.3">
      <c r="B57" s="11" t="s">
        <v>39</v>
      </c>
      <c r="C57" s="28">
        <f>C76</f>
        <v>323.37362751036301</v>
      </c>
      <c r="D57" s="3"/>
      <c r="E57" s="3"/>
    </row>
    <row r="58" spans="1:8" x14ac:dyDescent="0.3">
      <c r="C58">
        <f>SUM(C47:C57)</f>
        <v>668.37362751036301</v>
      </c>
      <c r="E58" s="23">
        <f>SUM(E47:E53)</f>
        <v>668.37362751036301</v>
      </c>
    </row>
    <row r="61" spans="1:8" x14ac:dyDescent="0.3">
      <c r="A61" t="s">
        <v>3</v>
      </c>
      <c r="B61" s="14" t="s">
        <v>40</v>
      </c>
      <c r="C61" s="14"/>
      <c r="D61" s="14" t="s">
        <v>41</v>
      </c>
      <c r="E61" s="17"/>
    </row>
    <row r="63" spans="1:8" x14ac:dyDescent="0.3">
      <c r="B63" s="3" t="s">
        <v>22</v>
      </c>
      <c r="C63" s="3">
        <f>C26</f>
        <v>800</v>
      </c>
      <c r="D63" s="3" t="s">
        <v>33</v>
      </c>
      <c r="E63" s="10">
        <f>C43</f>
        <v>92.224999999999994</v>
      </c>
    </row>
    <row r="64" spans="1:8" x14ac:dyDescent="0.3">
      <c r="B64" s="3" t="s">
        <v>23</v>
      </c>
      <c r="C64" s="3" t="s">
        <v>42</v>
      </c>
      <c r="D64" s="3" t="s">
        <v>43</v>
      </c>
      <c r="E64" s="3">
        <f>-C33</f>
        <v>75</v>
      </c>
    </row>
    <row r="65" spans="1:5" x14ac:dyDescent="0.3">
      <c r="B65" s="3" t="s">
        <v>24</v>
      </c>
      <c r="C65" s="3">
        <v>-100</v>
      </c>
      <c r="D65" s="3"/>
      <c r="E65" s="3"/>
    </row>
    <row r="66" spans="1:5" x14ac:dyDescent="0.3">
      <c r="B66" s="3" t="s">
        <v>25</v>
      </c>
      <c r="C66" s="3">
        <v>-200</v>
      </c>
      <c r="D66" s="3"/>
      <c r="E66" s="3"/>
    </row>
    <row r="67" spans="1:5" x14ac:dyDescent="0.3">
      <c r="B67" s="3" t="s">
        <v>26</v>
      </c>
      <c r="C67" s="3">
        <v>-20</v>
      </c>
      <c r="D67" s="3"/>
      <c r="E67" s="3"/>
    </row>
    <row r="68" spans="1:5" x14ac:dyDescent="0.3">
      <c r="B68" s="3"/>
      <c r="C68" s="3"/>
      <c r="D68" s="3"/>
      <c r="E68" s="3"/>
    </row>
    <row r="69" spans="1:5" x14ac:dyDescent="0.3">
      <c r="B69" s="3" t="s">
        <v>44</v>
      </c>
      <c r="C69" s="3">
        <f>-C53</f>
        <v>-100</v>
      </c>
      <c r="D69" s="3" t="s">
        <v>44</v>
      </c>
      <c r="E69" s="3">
        <v>-100</v>
      </c>
    </row>
    <row r="70" spans="1:5" x14ac:dyDescent="0.3">
      <c r="B70" s="3"/>
      <c r="C70" s="3"/>
      <c r="D70" s="3" t="s">
        <v>45</v>
      </c>
      <c r="E70" s="3">
        <v>280</v>
      </c>
    </row>
    <row r="71" spans="1:5" x14ac:dyDescent="0.3">
      <c r="B71" s="3" t="s">
        <v>46</v>
      </c>
      <c r="C71" s="20">
        <f>-'Loan repayment structure'!I15</f>
        <v>-23.851372489637001</v>
      </c>
      <c r="D71" s="3" t="s">
        <v>46</v>
      </c>
      <c r="E71" s="20">
        <f>C71</f>
        <v>-23.851372489637001</v>
      </c>
    </row>
    <row r="72" spans="1:5" x14ac:dyDescent="0.3">
      <c r="B72" s="3" t="s">
        <v>47</v>
      </c>
      <c r="C72" s="3">
        <f>C37</f>
        <v>-15</v>
      </c>
      <c r="D72" s="3"/>
      <c r="E72" s="3"/>
    </row>
    <row r="73" spans="1:5" x14ac:dyDescent="0.3">
      <c r="B73" s="3" t="s">
        <v>48</v>
      </c>
      <c r="C73" s="3">
        <f>C38</f>
        <v>-1.5</v>
      </c>
      <c r="D73" s="3"/>
      <c r="E73" s="3"/>
    </row>
    <row r="74" spans="1:5" x14ac:dyDescent="0.3">
      <c r="B74" s="3" t="s">
        <v>49</v>
      </c>
      <c r="C74" s="3">
        <f>-C41</f>
        <v>-16.274999999999999</v>
      </c>
      <c r="D74" s="3"/>
      <c r="E74" s="3"/>
    </row>
    <row r="76" spans="1:5" x14ac:dyDescent="0.3">
      <c r="C76" s="29">
        <f>C63+C65+C66+C67+C69+C71+C72+C73+C74</f>
        <v>323.37362751036301</v>
      </c>
      <c r="D76" s="6"/>
      <c r="E76" s="30">
        <f>E63+E64+E69+E70+E71</f>
        <v>323.37362751036301</v>
      </c>
    </row>
    <row r="78" spans="1:5" x14ac:dyDescent="0.3">
      <c r="A78" t="s">
        <v>4</v>
      </c>
      <c r="B78" t="s">
        <v>34</v>
      </c>
      <c r="C78" t="s">
        <v>51</v>
      </c>
    </row>
    <row r="79" spans="1:5" x14ac:dyDescent="0.3">
      <c r="B79" s="13" t="s">
        <v>10</v>
      </c>
      <c r="C79" s="13"/>
      <c r="D79" s="13" t="s">
        <v>11</v>
      </c>
      <c r="E79" s="13"/>
    </row>
    <row r="80" spans="1:5" x14ac:dyDescent="0.3">
      <c r="B80" s="3" t="s">
        <v>79</v>
      </c>
      <c r="C80" s="20">
        <f>'Loan repayment structure'!J15</f>
        <v>276.14862751036299</v>
      </c>
      <c r="D80" s="3" t="s">
        <v>55</v>
      </c>
      <c r="E80" s="3">
        <f>C85-E82-E84</f>
        <v>0.77499999999997726</v>
      </c>
    </row>
    <row r="81" spans="2:5" x14ac:dyDescent="0.3">
      <c r="B81" s="3"/>
      <c r="C81" s="3"/>
      <c r="D81" s="3"/>
      <c r="E81" s="3"/>
    </row>
    <row r="82" spans="2:5" x14ac:dyDescent="0.3">
      <c r="B82" s="18" t="s">
        <v>53</v>
      </c>
      <c r="C82" s="3">
        <v>100</v>
      </c>
      <c r="D82" s="3" t="s">
        <v>57</v>
      </c>
      <c r="E82" s="2">
        <f>C56+C57</f>
        <v>343.37362751036301</v>
      </c>
    </row>
    <row r="83" spans="2:5" x14ac:dyDescent="0.3">
      <c r="B83" s="5"/>
      <c r="C83" s="3">
        <v>0</v>
      </c>
      <c r="D83" s="3"/>
      <c r="E83" s="3"/>
    </row>
    <row r="84" spans="2:5" x14ac:dyDescent="0.3">
      <c r="B84" s="5"/>
      <c r="C84" s="3">
        <v>0</v>
      </c>
      <c r="D84" s="3" t="s">
        <v>19</v>
      </c>
      <c r="E84" s="3">
        <v>32</v>
      </c>
    </row>
    <row r="85" spans="2:5" x14ac:dyDescent="0.3">
      <c r="B85" s="3"/>
      <c r="C85" s="2">
        <f>SUM(C80:C84)</f>
        <v>376.14862751036299</v>
      </c>
      <c r="D85" s="3"/>
      <c r="E85" s="2">
        <f>SUM(E80:E84)</f>
        <v>376.14862751036299</v>
      </c>
    </row>
    <row r="88" spans="2:5" x14ac:dyDescent="0.3">
      <c r="B88" s="6" t="s">
        <v>80</v>
      </c>
      <c r="C88" s="12">
        <f>(C80+C82)*0.08</f>
        <v>30.091890200829038</v>
      </c>
    </row>
    <row r="89" spans="2:5" x14ac:dyDescent="0.3">
      <c r="B89" s="6" t="s">
        <v>35</v>
      </c>
      <c r="C89" s="6">
        <f>E84</f>
        <v>32</v>
      </c>
    </row>
  </sheetData>
  <pageMargins left="0.7" right="0.7" top="0.78740157499999996" bottom="0.78740157499999996" header="0.3" footer="0.3"/>
  <pageSetup paperSize="9" scale="5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78B00-FDC8-4DDA-B722-C05B800F8252}">
  <dimension ref="B2:L25"/>
  <sheetViews>
    <sheetView workbookViewId="0">
      <selection activeCell="H15" sqref="H15"/>
    </sheetView>
  </sheetViews>
  <sheetFormatPr defaultRowHeight="14.4" x14ac:dyDescent="0.3"/>
  <cols>
    <col min="4" max="4" width="21.21875" customWidth="1"/>
    <col min="7" max="13" width="16.21875" customWidth="1"/>
  </cols>
  <sheetData>
    <row r="2" spans="2:12" x14ac:dyDescent="0.3">
      <c r="B2" t="s">
        <v>70</v>
      </c>
      <c r="D2" t="s">
        <v>71</v>
      </c>
    </row>
    <row r="3" spans="2:12" x14ac:dyDescent="0.3">
      <c r="B3" t="s">
        <v>72</v>
      </c>
    </row>
    <row r="4" spans="2:12" x14ac:dyDescent="0.3">
      <c r="B4" t="s">
        <v>78</v>
      </c>
    </row>
    <row r="6" spans="2:12" x14ac:dyDescent="0.3">
      <c r="B6" t="s">
        <v>5</v>
      </c>
      <c r="D6" t="s">
        <v>6</v>
      </c>
    </row>
    <row r="8" spans="2:12" x14ac:dyDescent="0.3">
      <c r="B8" t="s">
        <v>73</v>
      </c>
      <c r="D8" t="s">
        <v>58</v>
      </c>
      <c r="E8">
        <v>300</v>
      </c>
    </row>
    <row r="9" spans="2:12" x14ac:dyDescent="0.3">
      <c r="B9" t="s">
        <v>74</v>
      </c>
      <c r="D9" t="s">
        <v>59</v>
      </c>
      <c r="E9">
        <v>0.05</v>
      </c>
    </row>
    <row r="10" spans="2:12" x14ac:dyDescent="0.3">
      <c r="B10" t="s">
        <v>75</v>
      </c>
      <c r="D10" t="s">
        <v>60</v>
      </c>
      <c r="E10">
        <v>10</v>
      </c>
    </row>
    <row r="11" spans="2:12" x14ac:dyDescent="0.3">
      <c r="B11" t="s">
        <v>76</v>
      </c>
      <c r="D11" t="s">
        <v>61</v>
      </c>
      <c r="E11">
        <v>1</v>
      </c>
    </row>
    <row r="12" spans="2:12" x14ac:dyDescent="0.3">
      <c r="B12" t="s">
        <v>77</v>
      </c>
      <c r="D12" t="s">
        <v>62</v>
      </c>
      <c r="E12">
        <f>-PMT(E9,E10,E8)</f>
        <v>38.851372489637001</v>
      </c>
    </row>
    <row r="14" spans="2:12" s="21" customFormat="1" ht="39.75" customHeight="1" x14ac:dyDescent="0.3">
      <c r="F14" s="22" t="s">
        <v>63</v>
      </c>
      <c r="G14" s="22" t="s">
        <v>64</v>
      </c>
      <c r="H14" s="22" t="s">
        <v>65</v>
      </c>
      <c r="I14" s="22" t="s">
        <v>66</v>
      </c>
      <c r="J14" s="22" t="s">
        <v>67</v>
      </c>
      <c r="K14" s="22" t="s">
        <v>68</v>
      </c>
      <c r="L14" s="22" t="s">
        <v>69</v>
      </c>
    </row>
    <row r="15" spans="2:12" x14ac:dyDescent="0.3">
      <c r="F15" s="3">
        <v>1</v>
      </c>
      <c r="G15" s="20">
        <f t="shared" ref="G15:G24" si="0">$E$12</f>
        <v>38.851372489637001</v>
      </c>
      <c r="H15" s="20">
        <f>E8*E9</f>
        <v>15</v>
      </c>
      <c r="I15" s="20">
        <f>G15-H15</f>
        <v>23.851372489637001</v>
      </c>
      <c r="J15" s="20">
        <f>$E$8-I15</f>
        <v>276.14862751036299</v>
      </c>
      <c r="K15" s="20">
        <f t="shared" ref="K15:K24" si="1">1/POWER((1+$E$9),F15)</f>
        <v>0.95238095238095233</v>
      </c>
      <c r="L15" s="20">
        <f>G15*K15</f>
        <v>37.00130713298762</v>
      </c>
    </row>
    <row r="16" spans="2:12" x14ac:dyDescent="0.3">
      <c r="F16" s="3">
        <v>2</v>
      </c>
      <c r="G16" s="20">
        <f t="shared" si="0"/>
        <v>38.851372489637001</v>
      </c>
      <c r="H16" s="20">
        <f t="shared" ref="H16:H24" si="2">$E$9*J15</f>
        <v>13.807431375518149</v>
      </c>
      <c r="I16" s="20">
        <f t="shared" ref="I16:I24" si="3">G16-H16</f>
        <v>25.043941114118851</v>
      </c>
      <c r="J16" s="20">
        <f>J15-I16</f>
        <v>251.10468639624412</v>
      </c>
      <c r="K16" s="20">
        <f t="shared" si="1"/>
        <v>0.90702947845804982</v>
      </c>
      <c r="L16" s="20">
        <f t="shared" ref="L16:L24" si="4">G16*K16</f>
        <v>35.239340126654874</v>
      </c>
    </row>
    <row r="17" spans="6:12" x14ac:dyDescent="0.3">
      <c r="F17" s="3">
        <v>3</v>
      </c>
      <c r="G17" s="20">
        <f t="shared" si="0"/>
        <v>38.851372489637001</v>
      </c>
      <c r="H17" s="20">
        <f t="shared" si="2"/>
        <v>12.555234319812207</v>
      </c>
      <c r="I17" s="20">
        <f t="shared" si="3"/>
        <v>26.296138169824793</v>
      </c>
      <c r="J17" s="20">
        <f t="shared" ref="J17:J24" si="5">J16-I17</f>
        <v>224.80854822641933</v>
      </c>
      <c r="K17" s="20">
        <f t="shared" si="1"/>
        <v>0.86383759853147601</v>
      </c>
      <c r="L17" s="20">
        <f t="shared" si="4"/>
        <v>33.561276311099881</v>
      </c>
    </row>
    <row r="18" spans="6:12" x14ac:dyDescent="0.3">
      <c r="F18" s="3">
        <v>4</v>
      </c>
      <c r="G18" s="20">
        <f t="shared" si="0"/>
        <v>38.851372489637001</v>
      </c>
      <c r="H18" s="20">
        <f t="shared" si="2"/>
        <v>11.240427411320967</v>
      </c>
      <c r="I18" s="20">
        <f t="shared" si="3"/>
        <v>27.610945078316036</v>
      </c>
      <c r="J18" s="20">
        <f t="shared" si="5"/>
        <v>197.1976031481033</v>
      </c>
      <c r="K18" s="20">
        <f t="shared" si="1"/>
        <v>0.82270247479188197</v>
      </c>
      <c r="L18" s="20">
        <f t="shared" si="4"/>
        <v>31.963120296285602</v>
      </c>
    </row>
    <row r="19" spans="6:12" x14ac:dyDescent="0.3">
      <c r="F19" s="3">
        <v>5</v>
      </c>
      <c r="G19" s="20">
        <f t="shared" si="0"/>
        <v>38.851372489637001</v>
      </c>
      <c r="H19" s="20">
        <f t="shared" si="2"/>
        <v>9.8598801574051649</v>
      </c>
      <c r="I19" s="20">
        <f t="shared" si="3"/>
        <v>28.991492332231836</v>
      </c>
      <c r="J19" s="20">
        <f t="shared" si="5"/>
        <v>168.20611081587145</v>
      </c>
      <c r="K19" s="20">
        <f t="shared" si="1"/>
        <v>0.78352616646845896</v>
      </c>
      <c r="L19" s="20">
        <f t="shared" si="4"/>
        <v>30.441066948843428</v>
      </c>
    </row>
    <row r="20" spans="6:12" x14ac:dyDescent="0.3">
      <c r="F20" s="3">
        <v>6</v>
      </c>
      <c r="G20" s="20">
        <f t="shared" si="0"/>
        <v>38.851372489637001</v>
      </c>
      <c r="H20" s="20">
        <f t="shared" si="2"/>
        <v>8.4103055407935727</v>
      </c>
      <c r="I20" s="20">
        <f t="shared" si="3"/>
        <v>30.441066948843428</v>
      </c>
      <c r="J20" s="20">
        <f t="shared" si="5"/>
        <v>137.76504386702803</v>
      </c>
      <c r="K20" s="20">
        <f t="shared" si="1"/>
        <v>0.74621539663662761</v>
      </c>
      <c r="L20" s="20">
        <f t="shared" si="4"/>
        <v>28.991492332231836</v>
      </c>
    </row>
    <row r="21" spans="6:12" x14ac:dyDescent="0.3">
      <c r="F21" s="3">
        <v>7</v>
      </c>
      <c r="G21" s="20">
        <f t="shared" si="0"/>
        <v>38.851372489637001</v>
      </c>
      <c r="H21" s="20">
        <f t="shared" si="2"/>
        <v>6.888252193351402</v>
      </c>
      <c r="I21" s="20">
        <f t="shared" si="3"/>
        <v>31.963120296285599</v>
      </c>
      <c r="J21" s="20">
        <f t="shared" si="5"/>
        <v>105.80192357074243</v>
      </c>
      <c r="K21" s="20">
        <f t="shared" si="1"/>
        <v>0.71068133013012147</v>
      </c>
      <c r="L21" s="20">
        <f t="shared" si="4"/>
        <v>27.610945078316032</v>
      </c>
    </row>
    <row r="22" spans="6:12" x14ac:dyDescent="0.3">
      <c r="F22" s="3">
        <v>8</v>
      </c>
      <c r="G22" s="20">
        <f t="shared" si="0"/>
        <v>38.851372489637001</v>
      </c>
      <c r="H22" s="20">
        <f t="shared" si="2"/>
        <v>5.2900961785371221</v>
      </c>
      <c r="I22" s="20">
        <f t="shared" si="3"/>
        <v>33.561276311099881</v>
      </c>
      <c r="J22" s="20">
        <f t="shared" si="5"/>
        <v>72.240647259642543</v>
      </c>
      <c r="K22" s="20">
        <f t="shared" si="1"/>
        <v>0.67683936202868722</v>
      </c>
      <c r="L22" s="20">
        <f t="shared" si="4"/>
        <v>26.296138169824797</v>
      </c>
    </row>
    <row r="23" spans="6:12" x14ac:dyDescent="0.3">
      <c r="F23" s="3">
        <v>9</v>
      </c>
      <c r="G23" s="20">
        <f t="shared" si="0"/>
        <v>38.851372489637001</v>
      </c>
      <c r="H23" s="20">
        <f t="shared" si="2"/>
        <v>3.6120323629821272</v>
      </c>
      <c r="I23" s="20">
        <f t="shared" si="3"/>
        <v>35.239340126654874</v>
      </c>
      <c r="J23" s="20">
        <f t="shared" si="5"/>
        <v>37.001307132987669</v>
      </c>
      <c r="K23" s="20">
        <f t="shared" si="1"/>
        <v>0.64460891621779726</v>
      </c>
      <c r="L23" s="20">
        <f t="shared" si="4"/>
        <v>25.043941114118851</v>
      </c>
    </row>
    <row r="24" spans="6:12" x14ac:dyDescent="0.3">
      <c r="F24" s="3">
        <v>10</v>
      </c>
      <c r="G24" s="20">
        <f t="shared" si="0"/>
        <v>38.851372489637001</v>
      </c>
      <c r="H24" s="20">
        <f t="shared" si="2"/>
        <v>1.8500653566493837</v>
      </c>
      <c r="I24" s="20">
        <f t="shared" si="3"/>
        <v>37.00130713298762</v>
      </c>
      <c r="J24" s="20">
        <f t="shared" si="5"/>
        <v>0</v>
      </c>
      <c r="K24" s="20">
        <f t="shared" si="1"/>
        <v>0.61391325354075932</v>
      </c>
      <c r="L24" s="20">
        <f t="shared" si="4"/>
        <v>23.851372489637001</v>
      </c>
    </row>
    <row r="25" spans="6:12" x14ac:dyDescent="0.3">
      <c r="F25" s="3"/>
      <c r="G25" s="20">
        <f>SUM(G15:G24)</f>
        <v>388.51372489637009</v>
      </c>
      <c r="H25" s="20">
        <f>SUM(H15:H24)</f>
        <v>88.513724896370107</v>
      </c>
      <c r="I25" s="20">
        <f>SUM(I15:I24)</f>
        <v>299.99999999999994</v>
      </c>
      <c r="J25" s="20"/>
      <c r="K25" s="20"/>
      <c r="L25" s="20">
        <f>SUM(L15:L24)</f>
        <v>299.99999999999994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T03 - Bank</vt:lpstr>
      <vt:lpstr>T03 - Brothers Smith </vt:lpstr>
      <vt:lpstr>Loan repayment structure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Pečená Magda</dc:creator>
  <cp:lastModifiedBy>Blahoslav Rejent</cp:lastModifiedBy>
  <cp:lastPrinted>2019-10-06T11:17:01Z</cp:lastPrinted>
  <dcterms:created xsi:type="dcterms:W3CDTF">2014-04-08T12:46:36Z</dcterms:created>
  <dcterms:modified xsi:type="dcterms:W3CDTF">2020-10-03T16:06:18Z</dcterms:modified>
</cp:coreProperties>
</file>